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NLMT\Dien ap mai\Qui trinh trien khai\Qui trinh Rang Dong\30.8 Bộ công cụ bán hàng ĐAM\"/>
    </mc:Choice>
  </mc:AlternateContent>
  <bookViews>
    <workbookView xWindow="0" yWindow="0" windowWidth="28800" windowHeight="11910" activeTab="1"/>
  </bookViews>
  <sheets>
    <sheet name="Chi tieu moi truong" sheetId="7" r:id="rId1"/>
    <sheet name="Chay dong tien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9" l="1"/>
  <c r="L4" i="9"/>
  <c r="C4" i="7"/>
  <c r="Z12" i="9" l="1"/>
  <c r="B3" i="9" l="1"/>
  <c r="M3" i="9" s="1"/>
  <c r="C13" i="9"/>
  <c r="C23" i="9" s="1"/>
  <c r="U34" i="9"/>
  <c r="X26" i="9"/>
  <c r="Z24" i="9"/>
  <c r="U20" i="9"/>
  <c r="D4" i="9" s="1"/>
  <c r="Z13" i="9"/>
  <c r="U8" i="9"/>
  <c r="K4" i="9"/>
  <c r="K5" i="9" s="1"/>
  <c r="K6" i="9" s="1"/>
  <c r="K7" i="9" s="1"/>
  <c r="K8" i="9" s="1"/>
  <c r="K9" i="9" s="1"/>
  <c r="K10" i="9" s="1"/>
  <c r="K11" i="9" s="1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I4" i="9"/>
  <c r="E4" i="9"/>
  <c r="U22" i="9" s="1"/>
  <c r="I5" i="9" l="1"/>
  <c r="H3" i="9"/>
  <c r="O3" i="9"/>
  <c r="E8" i="9"/>
  <c r="U26" i="9" s="1"/>
  <c r="P3" i="9"/>
  <c r="Q3" i="9"/>
  <c r="R3" i="9" s="1"/>
  <c r="S3" i="9" s="1"/>
  <c r="F3" i="9"/>
  <c r="F9" i="9" s="1"/>
  <c r="E6" i="9"/>
  <c r="U24" i="9" s="1"/>
  <c r="P4" i="9"/>
  <c r="P8" i="9"/>
  <c r="D5" i="9"/>
  <c r="L5" i="9"/>
  <c r="E5" i="9"/>
  <c r="P5" i="9" s="1"/>
  <c r="I6" i="9"/>
  <c r="E7" i="9"/>
  <c r="G4" i="9"/>
  <c r="H4" i="9" s="1"/>
  <c r="M4" i="9" s="1"/>
  <c r="G6" i="9"/>
  <c r="R4" i="9" l="1"/>
  <c r="S4" i="9" s="1"/>
  <c r="P6" i="9"/>
  <c r="N4" i="9"/>
  <c r="U25" i="9"/>
  <c r="P7" i="9"/>
  <c r="D6" i="9"/>
  <c r="H6" i="9" s="1"/>
  <c r="U23" i="9"/>
  <c r="E29" i="9"/>
  <c r="E28" i="9" s="1"/>
  <c r="G7" i="9"/>
  <c r="I7" i="9"/>
  <c r="L6" i="9"/>
  <c r="G8" i="9"/>
  <c r="G5" i="9"/>
  <c r="H5" i="9" s="1"/>
  <c r="X28" i="9"/>
  <c r="H7" i="9" l="1"/>
  <c r="U27" i="9"/>
  <c r="X25" i="9" s="1"/>
  <c r="M5" i="9"/>
  <c r="D7" i="9"/>
  <c r="I8" i="9"/>
  <c r="L7" i="9"/>
  <c r="Q5" i="9" l="1"/>
  <c r="N5" i="9"/>
  <c r="I9" i="9"/>
  <c r="L8" i="9"/>
  <c r="D8" i="9"/>
  <c r="H8" i="9" s="1"/>
  <c r="M6" i="9"/>
  <c r="Q6" i="9" s="1"/>
  <c r="R6" i="9" s="1"/>
  <c r="M7" i="9"/>
  <c r="Q7" i="9" s="1"/>
  <c r="R7" i="9" s="1"/>
  <c r="R5" i="9" l="1"/>
  <c r="S5" i="9" s="1"/>
  <c r="S6" i="9" s="1"/>
  <c r="S7" i="9" s="1"/>
  <c r="I10" i="9"/>
  <c r="L9" i="9"/>
  <c r="D9" i="9"/>
  <c r="H9" i="9" s="1"/>
  <c r="N6" i="9"/>
  <c r="N7" i="9" s="1"/>
  <c r="M9" i="9" l="1"/>
  <c r="Q9" i="9" s="1"/>
  <c r="R9" i="9" s="1"/>
  <c r="D10" i="9"/>
  <c r="H10" i="9" s="1"/>
  <c r="M8" i="9"/>
  <c r="L10" i="9"/>
  <c r="I11" i="9"/>
  <c r="N8" i="9" l="1"/>
  <c r="Q8" i="9"/>
  <c r="D11" i="9"/>
  <c r="H11" i="9" s="1"/>
  <c r="L11" i="9"/>
  <c r="I12" i="9"/>
  <c r="M10" i="9"/>
  <c r="Q10" i="9" s="1"/>
  <c r="R10" i="9" s="1"/>
  <c r="N9" i="9"/>
  <c r="H6" i="7"/>
  <c r="G6" i="7"/>
  <c r="F6" i="7"/>
  <c r="E6" i="7"/>
  <c r="E5" i="7"/>
  <c r="D6" i="7"/>
  <c r="D5" i="7"/>
  <c r="H5" i="7"/>
  <c r="G5" i="7"/>
  <c r="F5" i="7"/>
  <c r="C6" i="7"/>
  <c r="D4" i="7"/>
  <c r="K10" i="7"/>
  <c r="R8" i="9" l="1"/>
  <c r="S8" i="9" s="1"/>
  <c r="S9" i="9" s="1"/>
  <c r="S10" i="9" s="1"/>
  <c r="N10" i="9"/>
  <c r="L12" i="9"/>
  <c r="I13" i="9"/>
  <c r="D12" i="9"/>
  <c r="H12" i="9" s="1"/>
  <c r="M11" i="9"/>
  <c r="F4" i="7"/>
  <c r="G4" i="7"/>
  <c r="H4" i="7"/>
  <c r="E4" i="7"/>
  <c r="Q11" i="9" l="1"/>
  <c r="M12" i="9"/>
  <c r="Q12" i="9" s="1"/>
  <c r="R12" i="9" s="1"/>
  <c r="D13" i="9"/>
  <c r="H13" i="9" s="1"/>
  <c r="N11" i="9"/>
  <c r="I14" i="9"/>
  <c r="L13" i="9"/>
  <c r="R11" i="9" l="1"/>
  <c r="S11" i="9" s="1"/>
  <c r="S12" i="9" s="1"/>
  <c r="I15" i="9"/>
  <c r="L14" i="9"/>
  <c r="D14" i="9"/>
  <c r="H14" i="9" s="1"/>
  <c r="M13" i="9"/>
  <c r="N12" i="9"/>
  <c r="Q13" i="9" l="1"/>
  <c r="N13" i="9"/>
  <c r="D15" i="9"/>
  <c r="H15" i="9" s="1"/>
  <c r="L15" i="9"/>
  <c r="I16" i="9"/>
  <c r="M14" i="9"/>
  <c r="Q14" i="9" s="1"/>
  <c r="R14" i="9" s="1"/>
  <c r="R13" i="9" l="1"/>
  <c r="S13" i="9" s="1"/>
  <c r="S14" i="9" s="1"/>
  <c r="D16" i="9"/>
  <c r="H16" i="9" s="1"/>
  <c r="I17" i="9"/>
  <c r="L16" i="9"/>
  <c r="M15" i="9"/>
  <c r="N14" i="9"/>
  <c r="Q15" i="9" l="1"/>
  <c r="R15" i="9" s="1"/>
  <c r="S15" i="9" s="1"/>
  <c r="N15" i="9"/>
  <c r="I18" i="9"/>
  <c r="L17" i="9"/>
  <c r="D17" i="9"/>
  <c r="H17" i="9" s="1"/>
  <c r="M16" i="9"/>
  <c r="N16" i="9" l="1"/>
  <c r="Q16" i="9"/>
  <c r="R16" i="9" s="1"/>
  <c r="S16" i="9" s="1"/>
  <c r="I19" i="9"/>
  <c r="L18" i="9"/>
  <c r="M17" i="9"/>
  <c r="D18" i="9"/>
  <c r="H18" i="9" s="1"/>
  <c r="N17" i="9" l="1"/>
  <c r="Q17" i="9"/>
  <c r="R17" i="9" s="1"/>
  <c r="S17" i="9" s="1"/>
  <c r="D19" i="9"/>
  <c r="H19" i="9" s="1"/>
  <c r="M18" i="9"/>
  <c r="L19" i="9"/>
  <c r="I20" i="9"/>
  <c r="N18" i="9" l="1"/>
  <c r="Q18" i="9"/>
  <c r="R18" i="9" s="1"/>
  <c r="S18" i="9" s="1"/>
  <c r="I21" i="9"/>
  <c r="L20" i="9"/>
  <c r="D20" i="9"/>
  <c r="H20" i="9" s="1"/>
  <c r="M19" i="9"/>
  <c r="N19" i="9" l="1"/>
  <c r="Q19" i="9"/>
  <c r="R19" i="9" s="1"/>
  <c r="S19" i="9" s="1"/>
  <c r="D21" i="9"/>
  <c r="H21" i="9" s="1"/>
  <c r="M20" i="9"/>
  <c r="L21" i="9"/>
  <c r="I22" i="9"/>
  <c r="N20" i="9" l="1"/>
  <c r="Q20" i="9"/>
  <c r="R20" i="9" s="1"/>
  <c r="S20" i="9" s="1"/>
  <c r="I23" i="9"/>
  <c r="L22" i="9"/>
  <c r="D22" i="9"/>
  <c r="H22" i="9" s="1"/>
  <c r="M21" i="9"/>
  <c r="N21" i="9" l="1"/>
  <c r="Q21" i="9"/>
  <c r="R21" i="9" s="1"/>
  <c r="S21" i="9" s="1"/>
  <c r="D23" i="9"/>
  <c r="H23" i="9" s="1"/>
  <c r="M22" i="9"/>
  <c r="I24" i="9"/>
  <c r="L23" i="9"/>
  <c r="N22" i="9" l="1"/>
  <c r="Q22" i="9"/>
  <c r="R22" i="9" s="1"/>
  <c r="S22" i="9" s="1"/>
  <c r="I25" i="9"/>
  <c r="L24" i="9"/>
  <c r="M23" i="9"/>
  <c r="D24" i="9"/>
  <c r="H24" i="9" s="1"/>
  <c r="N23" i="9" l="1"/>
  <c r="Q23" i="9"/>
  <c r="R23" i="9" s="1"/>
  <c r="S23" i="9" s="1"/>
  <c r="D25" i="9"/>
  <c r="H25" i="9" s="1"/>
  <c r="M24" i="9"/>
  <c r="I26" i="9"/>
  <c r="L25" i="9"/>
  <c r="N24" i="9" l="1"/>
  <c r="Q24" i="9"/>
  <c r="R24" i="9" s="1"/>
  <c r="S24" i="9" s="1"/>
  <c r="I27" i="9"/>
  <c r="L26" i="9"/>
  <c r="M25" i="9"/>
  <c r="D26" i="9"/>
  <c r="H26" i="9" s="1"/>
  <c r="N25" i="9" l="1"/>
  <c r="Q25" i="9"/>
  <c r="R25" i="9" s="1"/>
  <c r="S25" i="9" s="1"/>
  <c r="D27" i="9"/>
  <c r="H27" i="9" s="1"/>
  <c r="M26" i="9"/>
  <c r="I28" i="9"/>
  <c r="L27" i="9"/>
  <c r="N26" i="9" l="1"/>
  <c r="Q26" i="9"/>
  <c r="R26" i="9" s="1"/>
  <c r="S26" i="9" s="1"/>
  <c r="M27" i="9"/>
  <c r="L28" i="9"/>
  <c r="I29" i="9"/>
  <c r="I30" i="9"/>
  <c r="D28" i="9"/>
  <c r="H28" i="9" s="1"/>
  <c r="N27" i="9" l="1"/>
  <c r="Q27" i="9"/>
  <c r="R27" i="9" s="1"/>
  <c r="S27" i="9" s="1"/>
  <c r="D30" i="9"/>
  <c r="D29" i="9"/>
  <c r="M28" i="9"/>
  <c r="L29" i="9"/>
  <c r="L31" i="9" s="1"/>
  <c r="L32" i="9"/>
  <c r="Z14" i="9" s="1"/>
  <c r="L30" i="9"/>
  <c r="Q28" i="9" l="1"/>
  <c r="H30" i="9"/>
  <c r="H29" i="9"/>
  <c r="M32" i="9"/>
  <c r="M30" i="9"/>
  <c r="M29" i="9"/>
  <c r="M31" i="9" s="1"/>
  <c r="Z16" i="9"/>
  <c r="N28" i="9"/>
  <c r="R28" i="9" l="1"/>
  <c r="S28" i="9" s="1"/>
  <c r="Q30" i="9"/>
</calcChain>
</file>

<file path=xl/sharedStrings.xml><?xml version="1.0" encoding="utf-8"?>
<sst xmlns="http://schemas.openxmlformats.org/spreadsheetml/2006/main" count="101" uniqueCount="82">
  <si>
    <t>Năm</t>
  </si>
  <si>
    <t>Vốn đầu tư
(VNĐ)</t>
  </si>
  <si>
    <t>Doanh thu</t>
  </si>
  <si>
    <t>Sản lượng điện
(kWh/Năm)</t>
  </si>
  <si>
    <t>Giá điện
(VNĐ)</t>
  </si>
  <si>
    <t>Chi phí</t>
  </si>
  <si>
    <t>Tổng</t>
  </si>
  <si>
    <t>Trung Bình</t>
  </si>
  <si>
    <t>Phân tích hiệu quả đầu tư</t>
  </si>
  <si>
    <t>Công suất lắp đặt</t>
  </si>
  <si>
    <t>Suất đầu tư VND/kWp</t>
  </si>
  <si>
    <t>Vận hành/kWp/năm</t>
  </si>
  <si>
    <t>Giá điện</t>
  </si>
  <si>
    <t>Tăng giá điện</t>
  </si>
  <si>
    <t>Tăng chi phí vận hành</t>
  </si>
  <si>
    <t>Tỷ lệ sử dụng</t>
  </si>
  <si>
    <t>Tỷ lệ vay vốn</t>
  </si>
  <si>
    <t>Lãi xuất vay</t>
  </si>
  <si>
    <t>Thời hạn vay</t>
  </si>
  <si>
    <t>Tổng mức đầu tư</t>
  </si>
  <si>
    <t>Chi phí vận hành mỗi năm</t>
  </si>
  <si>
    <t>Đầu vào và giả thiết</t>
  </si>
  <si>
    <t>Sản lượng điện riêng</t>
  </si>
  <si>
    <t>Sản lượng điện năm đầu</t>
  </si>
  <si>
    <t>kWp</t>
  </si>
  <si>
    <t>VND</t>
  </si>
  <si>
    <t>kWh/kW</t>
  </si>
  <si>
    <t>Tỷ lệ suy hao hiệu suất đầu năm</t>
  </si>
  <si>
    <t>%</t>
  </si>
  <si>
    <t>VND/kW</t>
  </si>
  <si>
    <t>%/năm</t>
  </si>
  <si>
    <t>kWh</t>
  </si>
  <si>
    <t>Tính toán dòng tiền</t>
  </si>
  <si>
    <t>Hiệu quả đầu từ</t>
  </si>
  <si>
    <t>Tiết kiệm bình quân mỗi năm</t>
  </si>
  <si>
    <t>Tổng tiết kiệm trong suốt vòng đời dự án</t>
  </si>
  <si>
    <t>IRR(%)</t>
  </si>
  <si>
    <t>Thời gian hoàn vốn (năm)</t>
  </si>
  <si>
    <t>NPV</t>
  </si>
  <si>
    <t>Tổng chi phí
(VND/Năm)</t>
  </si>
  <si>
    <t xml:space="preserve"> </t>
  </si>
  <si>
    <t>Tỷ lệ chiết khấu</t>
  </si>
  <si>
    <t>Chi phí lãi vay ngân hàng</t>
  </si>
  <si>
    <t>Tổng lãi 5 năm</t>
  </si>
  <si>
    <t>kwp</t>
  </si>
  <si>
    <t>Chi phí vận hành
(VND/Năm) tăng 4% năm</t>
  </si>
  <si>
    <t>Tỷ lệ suy giảm hiệu suất</t>
  </si>
  <si>
    <t>Chi phí vốn vay</t>
  </si>
  <si>
    <t>Tổng tiết kiệm</t>
  </si>
  <si>
    <t>Trung bình</t>
  </si>
  <si>
    <t>Doanh thu
(VNĐ/năm)[G*I]</t>
  </si>
  <si>
    <t>Điện năng</t>
  </si>
  <si>
    <t>Than tiêu chuẩn/kg</t>
  </si>
  <si>
    <t>Bụi/kg</t>
  </si>
  <si>
    <t>CO2/kg</t>
  </si>
  <si>
    <t>SO2/kg</t>
  </si>
  <si>
    <t>Nox/kg</t>
  </si>
  <si>
    <t>Cây xanh/cây</t>
  </si>
  <si>
    <t>1kWh</t>
  </si>
  <si>
    <t>MW</t>
  </si>
  <si>
    <t>http://www.greenidvietnam.org.vn/phat-trien-nang-luong-tai-tao-truoc-nguy-co-huy-hoai-moi-truong-sinh-thai-cua-nhiet-dien-than-o-viet-nam.html</t>
  </si>
  <si>
    <t>tấn/Mwh</t>
  </si>
  <si>
    <t>năm đầu tiên</t>
  </si>
  <si>
    <t>Trung bình năm</t>
  </si>
  <si>
    <t>Tổng cộng sau 25 năm</t>
  </si>
  <si>
    <t>Giờ bình thường</t>
  </si>
  <si>
    <t>Giờ thấp điểm</t>
  </si>
  <si>
    <t>Giờ cao điểm</t>
  </si>
  <si>
    <t>Lãi suất ngân hàng</t>
  </si>
  <si>
    <t>Trả gốc</t>
  </si>
  <si>
    <t>Lãi vay phải trả</t>
  </si>
  <si>
    <t>Lợi nhuận</t>
  </si>
  <si>
    <t>Chi phí thay thiết bị</t>
  </si>
  <si>
    <t>Inverter</t>
  </si>
  <si>
    <t>Giám sát</t>
  </si>
  <si>
    <t>LN lũy kế</t>
  </si>
  <si>
    <t>Dòng tiền ra</t>
  </si>
  <si>
    <t>Dong tiền thuần</t>
  </si>
  <si>
    <t>Dòng tiền vào</t>
  </si>
  <si>
    <t>Dòng tiền thuần (chiết khấu)</t>
  </si>
  <si>
    <t>Dòng tiền thuần lũy kế (chiết khấu)</t>
  </si>
  <si>
    <t>TÍNH TOÁN CHỈ TIÊU MÔI 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</si>
</sst>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00"/>
    <numFmt numFmtId="167" formatCode="#,##0.0"/>
    <numFmt numFmtId="168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1" fontId="0" fillId="0" borderId="1" xfId="0" applyNumberFormat="1" applyBorder="1" applyAlignment="1">
      <alignment horizontal="right" vertical="center"/>
    </xf>
    <xf numFmtId="0" fontId="3" fillId="3" borderId="1" xfId="2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9" fontId="0" fillId="0" borderId="1" xfId="4" applyFont="1" applyBorder="1" applyAlignment="1">
      <alignment horizontal="right" vertical="center"/>
    </xf>
    <xf numFmtId="164" fontId="0" fillId="4" borderId="1" xfId="3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9" fontId="0" fillId="0" borderId="1" xfId="4" applyFont="1" applyBorder="1" applyAlignment="1">
      <alignment horizontal="center" vertical="center"/>
    </xf>
    <xf numFmtId="38" fontId="0" fillId="0" borderId="1" xfId="0" applyNumberFormat="1" applyBorder="1" applyAlignment="1">
      <alignment horizontal="center" vertical="center"/>
    </xf>
    <xf numFmtId="38" fontId="0" fillId="4" borderId="1" xfId="0" applyNumberFormat="1" applyFill="1" applyBorder="1" applyAlignment="1">
      <alignment horizontal="center" vertical="center"/>
    </xf>
    <xf numFmtId="4" fontId="0" fillId="0" borderId="3" xfId="0" applyNumberFormat="1" applyBorder="1" applyAlignment="1">
      <alignment horizontal="right" vertical="center"/>
    </xf>
    <xf numFmtId="166" fontId="0" fillId="0" borderId="3" xfId="0" applyNumberFormat="1" applyBorder="1" applyAlignment="1">
      <alignment horizontal="right" vertical="center"/>
    </xf>
    <xf numFmtId="43" fontId="0" fillId="0" borderId="3" xfId="0" applyNumberFormat="1" applyBorder="1" applyAlignment="1">
      <alignment horizontal="right" vertical="center"/>
    </xf>
    <xf numFmtId="0" fontId="1" fillId="2" borderId="2" xfId="1" applyBorder="1" applyAlignment="1">
      <alignment vertical="center"/>
    </xf>
    <xf numFmtId="0" fontId="1" fillId="2" borderId="3" xfId="1" applyBorder="1" applyAlignment="1">
      <alignment vertical="center"/>
    </xf>
    <xf numFmtId="43" fontId="0" fillId="0" borderId="0" xfId="3" applyFont="1" applyBorder="1" applyAlignment="1">
      <alignment horizontal="center" vertical="center"/>
    </xf>
    <xf numFmtId="43" fontId="0" fillId="4" borderId="0" xfId="0" applyNumberFormat="1" applyFill="1" applyBorder="1" applyAlignment="1">
      <alignment horizontal="center" vertical="center"/>
    </xf>
    <xf numFmtId="43" fontId="0" fillId="0" borderId="0" xfId="3" applyFont="1" applyAlignment="1">
      <alignment horizontal="center" vertical="center"/>
    </xf>
    <xf numFmtId="10" fontId="0" fillId="0" borderId="3" xfId="4" applyNumberFormat="1" applyFont="1" applyBorder="1" applyAlignment="1">
      <alignment horizontal="right" vertical="center"/>
    </xf>
    <xf numFmtId="165" fontId="0" fillId="0" borderId="0" xfId="4" applyNumberFormat="1" applyFont="1" applyAlignment="1">
      <alignment horizontal="center" vertical="center"/>
    </xf>
    <xf numFmtId="165" fontId="0" fillId="0" borderId="1" xfId="4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/>
    <xf numFmtId="164" fontId="0" fillId="0" borderId="1" xfId="3" applyNumberFormat="1" applyFont="1" applyBorder="1"/>
    <xf numFmtId="0" fontId="0" fillId="0" borderId="1" xfId="0" applyBorder="1" applyAlignment="1">
      <alignment wrapText="1"/>
    </xf>
    <xf numFmtId="43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43" fontId="0" fillId="0" borderId="0" xfId="3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9" fontId="9" fillId="0" borderId="1" xfId="4" applyFont="1" applyBorder="1" applyAlignment="1">
      <alignment horizontal="center" vertical="center"/>
    </xf>
    <xf numFmtId="43" fontId="0" fillId="0" borderId="1" xfId="3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37" fontId="0" fillId="0" borderId="1" xfId="3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3" fontId="0" fillId="0" borderId="1" xfId="3" applyFont="1" applyBorder="1" applyAlignment="1">
      <alignment horizontal="center" vertical="center"/>
    </xf>
    <xf numFmtId="168" fontId="0" fillId="0" borderId="1" xfId="3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164" fontId="0" fillId="0" borderId="1" xfId="3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8" fontId="0" fillId="0" borderId="0" xfId="0" applyNumberFormat="1" applyBorder="1" applyAlignment="1">
      <alignment horizontal="center" vertical="center"/>
    </xf>
    <xf numFmtId="38" fontId="0" fillId="4" borderId="0" xfId="0" applyNumberFormat="1" applyFill="1" applyBorder="1" applyAlignment="1">
      <alignment horizontal="center" vertical="center"/>
    </xf>
    <xf numFmtId="3" fontId="0" fillId="4" borderId="0" xfId="0" applyNumberFormat="1" applyFill="1" applyBorder="1" applyAlignment="1">
      <alignment horizontal="center" vertical="center"/>
    </xf>
    <xf numFmtId="9" fontId="0" fillId="0" borderId="3" xfId="4" applyFont="1" applyBorder="1" applyAlignment="1">
      <alignment horizontal="right" vertical="center"/>
    </xf>
    <xf numFmtId="38" fontId="0" fillId="0" borderId="0" xfId="0" applyNumberFormat="1" applyAlignment="1">
      <alignment horizontal="center" vertical="center"/>
    </xf>
    <xf numFmtId="166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1" fillId="2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</cellXfs>
  <cellStyles count="5">
    <cellStyle name="Comma" xfId="3" builtinId="3"/>
    <cellStyle name="Good" xfId="1" builtinId="26"/>
    <cellStyle name="Neutral" xfId="2" builtinId="2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DÒNG</a:t>
            </a:r>
            <a:r>
              <a:rPr lang="en-US" baseline="0"/>
              <a:t> TIỀN DỰ ÁN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641232343853797E-2"/>
          <c:y val="0.17171296296296296"/>
          <c:w val="0.84831868239306552"/>
          <c:h val="0.719091267249568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'Chay dong tien'!$A$4:$A$28</c:f>
              <c:strCach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12877880707253E-4"/>
                  <c:y val="0.136327991701676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138553671129634E-17"/>
                  <c:y val="0.13393627254901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.107627361869744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287788070723999E-4"/>
                  <c:y val="6.69681362745075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5.26178213585416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.157853464075625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277107342259268E-17"/>
                  <c:y val="0.124369395938371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0.119585957633049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2277107342259268E-17"/>
                  <c:y val="0.121977676785710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2277107342259268E-17"/>
                  <c:y val="0.126761115091032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0455421468451854E-16"/>
                  <c:y val="0.117194238480388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0.121977676785710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0.119585957633049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0455421468451854E-16"/>
                  <c:y val="0.121977676785710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455421468451854E-16"/>
                  <c:y val="0.119585957633049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0"/>
                  <c:y val="0.11719423848038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0.117194238480388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7.1287788070713537E-4"/>
                  <c:y val="0.119585957633049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0455421468451854E-16"/>
                  <c:y val="0.119585957633049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7.1287788070734451E-4"/>
                  <c:y val="0.121977676785710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0.121977676785710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0.1219776767857102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0"/>
                  <c:y val="0.12915283424369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'Chay dong tien'!$Q$4:$Q$28</c:f>
              <c:numCache>
                <c:formatCode>#,##0_);[Red]\(#,##0\)</c:formatCode>
                <c:ptCount val="25"/>
                <c:pt idx="0">
                  <c:v>-82787464</c:v>
                </c:pt>
                <c:pt idx="1">
                  <c:v>-62061174.700799994</c:v>
                </c:pt>
                <c:pt idx="2">
                  <c:v>-50787850.732456706</c:v>
                </c:pt>
                <c:pt idx="3">
                  <c:v>-39471988.223012678</c:v>
                </c:pt>
                <c:pt idx="4">
                  <c:v>-28112486.275024235</c:v>
                </c:pt>
                <c:pt idx="5">
                  <c:v>63146144.500178128</c:v>
                </c:pt>
                <c:pt idx="6">
                  <c:v>64726702.719842732</c:v>
                </c:pt>
                <c:pt idx="7">
                  <c:v>66354376.986232266</c:v>
                </c:pt>
                <c:pt idx="8">
                  <c:v>68030386.662635952</c:v>
                </c:pt>
                <c:pt idx="9">
                  <c:v>15255982.669464976</c:v>
                </c:pt>
                <c:pt idx="10">
                  <c:v>71532448.300950721</c:v>
                </c:pt>
                <c:pt idx="11">
                  <c:v>73361100.062979341</c:v>
                </c:pt>
                <c:pt idx="12">
                  <c:v>75243288.532609239</c:v>
                </c:pt>
                <c:pt idx="13">
                  <c:v>77180399.239833161</c:v>
                </c:pt>
                <c:pt idx="14">
                  <c:v>79173853.57216005</c:v>
                </c:pt>
                <c:pt idx="15">
                  <c:v>81225109.702607557</c:v>
                </c:pt>
                <c:pt idx="16">
                  <c:v>83335663.541711047</c:v>
                </c:pt>
                <c:pt idx="17">
                  <c:v>85507049.71417053</c:v>
                </c:pt>
                <c:pt idx="18">
                  <c:v>87740842.560773268</c:v>
                </c:pt>
                <c:pt idx="19">
                  <c:v>35538657.166246071</c:v>
                </c:pt>
                <c:pt idx="20">
                  <c:v>92402150.413708538</c:v>
                </c:pt>
                <c:pt idx="21">
                  <c:v>94833022.06641531</c:v>
                </c:pt>
                <c:pt idx="22">
                  <c:v>97333015.877494127</c:v>
                </c:pt>
                <c:pt idx="23">
                  <c:v>99903920.728403673</c:v>
                </c:pt>
                <c:pt idx="24">
                  <c:v>102547571.79685476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A1-428D-AE4D-464FF0685C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043894880"/>
        <c:axId val="-2043906304"/>
      </c:barChart>
      <c:catAx>
        <c:axId val="-2043894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Năm</a:t>
                </a:r>
                <a:r>
                  <a:rPr lang="en-US" baseline="0"/>
                  <a:t> thứ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3906304"/>
        <c:crosses val="autoZero"/>
        <c:auto val="1"/>
        <c:lblAlgn val="ctr"/>
        <c:lblOffset val="100"/>
        <c:noMultiLvlLbl val="0"/>
      </c:catAx>
      <c:valAx>
        <c:axId val="-204390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Tỷ</a:t>
                </a:r>
                <a:r>
                  <a:rPr lang="en-US" baseline="0"/>
                  <a:t> VNĐ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389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219075</xdr:colOff>
      <xdr:row>4</xdr:row>
      <xdr:rowOff>133350</xdr:rowOff>
    </xdr:from>
    <xdr:to>
      <xdr:col>26</xdr:col>
      <xdr:colOff>265703</xdr:colOff>
      <xdr:row>41</xdr:row>
      <xdr:rowOff>56255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0" y="1085850"/>
          <a:ext cx="7971428" cy="71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13</xdr:row>
      <xdr:rowOff>0</xdr:rowOff>
    </xdr:from>
    <xdr:to>
      <xdr:col>11</xdr:col>
      <xdr:colOff>364430</xdr:colOff>
      <xdr:row>37</xdr:row>
      <xdr:rowOff>169208</xdr:rowOff>
    </xdr:to>
    <xdr:pic>
      <xdr:nvPicPr>
        <xdr:cNvPr id="5" name="Picture 4" descr="https://itvc-global.com/images/Upload/files/H%E1%BB%87%20s%E1%BB%91%20ph%C3%A1t%20th%E1%BA%A3i%20CO2%20c%E1%BB%A7a%20l%C6%B0%E1%BB%9Bi%20%C4%91i%E1%BB%87n%20Vi%E1%BB%87t%20Nam%20202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00"/>
          <a:ext cx="8346380" cy="4741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628090</xdr:colOff>
      <xdr:row>26</xdr:row>
      <xdr:rowOff>76101</xdr:rowOff>
    </xdr:from>
    <xdr:to>
      <xdr:col>26</xdr:col>
      <xdr:colOff>151638</xdr:colOff>
      <xdr:row>44</xdr:row>
      <xdr:rowOff>63895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85414" y="5522160"/>
          <a:ext cx="4835136" cy="3416794"/>
        </a:xfrm>
        <a:prstGeom prst="rect">
          <a:avLst/>
        </a:prstGeom>
      </xdr:spPr>
    </xdr:pic>
    <xdr:clientData/>
  </xdr:twoCellAnchor>
  <xdr:twoCellAnchor>
    <xdr:from>
      <xdr:col>0</xdr:col>
      <xdr:colOff>739589</xdr:colOff>
      <xdr:row>34</xdr:row>
      <xdr:rowOff>134471</xdr:rowOff>
    </xdr:from>
    <xdr:to>
      <xdr:col>18</xdr:col>
      <xdr:colOff>636496</xdr:colOff>
      <xdr:row>62</xdr:row>
      <xdr:rowOff>110459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14EB2B9B-2084-8BA2-82AE-8EB043431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7"/>
  <sheetViews>
    <sheetView workbookViewId="0">
      <selection activeCell="M25" sqref="M25"/>
    </sheetView>
  </sheetViews>
  <sheetFormatPr defaultRowHeight="15" x14ac:dyDescent="0.25"/>
  <cols>
    <col min="2" max="2" width="14.42578125" customWidth="1"/>
    <col min="3" max="3" width="11.140625" customWidth="1"/>
    <col min="4" max="4" width="12.7109375" customWidth="1"/>
    <col min="5" max="5" width="13.28515625" bestFit="1" customWidth="1"/>
    <col min="6" max="8" width="10.5703125" bestFit="1" customWidth="1"/>
  </cols>
  <sheetData>
    <row r="1" spans="2:16" x14ac:dyDescent="0.25">
      <c r="B1" s="75" t="s">
        <v>81</v>
      </c>
      <c r="C1" s="75"/>
      <c r="D1" s="75"/>
      <c r="E1" s="75"/>
      <c r="F1" s="75"/>
      <c r="G1" s="75"/>
      <c r="H1" s="75"/>
    </row>
    <row r="2" spans="2:16" ht="30" x14ac:dyDescent="0.25">
      <c r="B2" s="46" t="s">
        <v>51</v>
      </c>
      <c r="C2" s="46" t="s">
        <v>52</v>
      </c>
      <c r="D2" s="46" t="s">
        <v>53</v>
      </c>
      <c r="E2" s="46" t="s">
        <v>54</v>
      </c>
      <c r="F2" s="46" t="s">
        <v>55</v>
      </c>
      <c r="G2" s="46" t="s">
        <v>56</v>
      </c>
      <c r="H2" s="46" t="s">
        <v>57</v>
      </c>
    </row>
    <row r="3" spans="2:16" x14ac:dyDescent="0.25">
      <c r="B3" s="39" t="s">
        <v>58</v>
      </c>
      <c r="C3" s="39">
        <v>0.316</v>
      </c>
      <c r="D3" s="39">
        <v>0.27200000000000002</v>
      </c>
      <c r="E3" s="39">
        <v>0.72209999999999996</v>
      </c>
      <c r="F3" s="39">
        <v>0.03</v>
      </c>
      <c r="G3" s="39">
        <v>1.4999999999999999E-2</v>
      </c>
      <c r="H3" s="39">
        <v>1.17E-2</v>
      </c>
      <c r="P3" t="s">
        <v>60</v>
      </c>
    </row>
    <row r="4" spans="2:16" x14ac:dyDescent="0.25">
      <c r="B4" s="39" t="s">
        <v>62</v>
      </c>
      <c r="C4" s="40">
        <f>'Chay dong tien'!U21</f>
        <v>29716</v>
      </c>
      <c r="D4" s="41">
        <f>C4*D3</f>
        <v>8082.7520000000004</v>
      </c>
      <c r="E4" s="39">
        <f>E3*$C$4</f>
        <v>21457.923599999998</v>
      </c>
      <c r="F4" s="39">
        <f>F3*C4</f>
        <v>891.48</v>
      </c>
      <c r="G4" s="39">
        <f>G3*C4</f>
        <v>445.74</v>
      </c>
      <c r="H4" s="39">
        <f>H3*C4</f>
        <v>347.67720000000003</v>
      </c>
    </row>
    <row r="5" spans="2:16" x14ac:dyDescent="0.25">
      <c r="B5" s="39" t="s">
        <v>63</v>
      </c>
      <c r="C5" s="41">
        <v>71721</v>
      </c>
      <c r="D5" s="43">
        <f>C5*$D$3</f>
        <v>19508.112000000001</v>
      </c>
      <c r="E5" s="43">
        <f>E3*$C$5</f>
        <v>51789.734099999994</v>
      </c>
      <c r="F5" s="43">
        <f>F3*C5</f>
        <v>2151.63</v>
      </c>
      <c r="G5" s="43">
        <f>G3*C5</f>
        <v>1075.8150000000001</v>
      </c>
      <c r="H5" s="43">
        <f>H3*C5</f>
        <v>839.13570000000004</v>
      </c>
    </row>
    <row r="6" spans="2:16" ht="30" x14ac:dyDescent="0.25">
      <c r="B6" s="42" t="s">
        <v>64</v>
      </c>
      <c r="C6" s="44">
        <f>C5*25</f>
        <v>1793025</v>
      </c>
      <c r="D6" s="45">
        <f>C6*$D$3</f>
        <v>487702.80000000005</v>
      </c>
      <c r="E6" s="45">
        <f>E3*C6</f>
        <v>1294743.3525</v>
      </c>
      <c r="F6" s="45">
        <f>F3*C6</f>
        <v>53790.75</v>
      </c>
      <c r="G6" s="45">
        <f>G3*C6</f>
        <v>26895.375</v>
      </c>
      <c r="H6" s="45">
        <f>H3*C6</f>
        <v>20978.392500000002</v>
      </c>
    </row>
    <row r="9" spans="2:16" x14ac:dyDescent="0.25">
      <c r="K9">
        <v>0.72209999999999996</v>
      </c>
      <c r="L9" t="s">
        <v>61</v>
      </c>
    </row>
    <row r="10" spans="2:16" x14ac:dyDescent="0.25">
      <c r="K10">
        <f>K9*1000000/1000000</f>
        <v>0.72209999999999996</v>
      </c>
    </row>
    <row r="11" spans="2:16" x14ac:dyDescent="0.25">
      <c r="B11">
        <v>18.225000000000001</v>
      </c>
      <c r="C11" t="s">
        <v>59</v>
      </c>
    </row>
    <row r="17" spans="13:13" x14ac:dyDescent="0.25">
      <c r="M17" t="s">
        <v>40</v>
      </c>
    </row>
  </sheetData>
  <mergeCells count="1">
    <mergeCell ref="B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tabSelected="1" zoomScale="85" zoomScaleNormal="85" workbookViewId="0">
      <selection activeCell="I1" sqref="I1:L1"/>
    </sheetView>
  </sheetViews>
  <sheetFormatPr defaultRowHeight="15" x14ac:dyDescent="0.25"/>
  <cols>
    <col min="1" max="1" width="11.7109375" style="52" customWidth="1"/>
    <col min="2" max="3" width="18" style="52" customWidth="1"/>
    <col min="4" max="4" width="16.7109375" style="52" customWidth="1"/>
    <col min="5" max="5" width="12" style="52" customWidth="1"/>
    <col min="6" max="6" width="12.5703125" style="52" customWidth="1"/>
    <col min="7" max="7" width="14.42578125" style="52" customWidth="1"/>
    <col min="8" max="8" width="17.140625" style="52" customWidth="1"/>
    <col min="9" max="9" width="14.5703125" style="52" customWidth="1"/>
    <col min="10" max="10" width="10.42578125" style="52" customWidth="1"/>
    <col min="11" max="11" width="8.5703125" style="52" customWidth="1"/>
    <col min="12" max="12" width="15.5703125" style="52" customWidth="1"/>
    <col min="13" max="13" width="16.5703125" style="52" customWidth="1"/>
    <col min="14" max="14" width="17.28515625" style="52" customWidth="1"/>
    <col min="15" max="15" width="15" style="52" customWidth="1"/>
    <col min="16" max="16" width="15.42578125" style="52" customWidth="1"/>
    <col min="17" max="18" width="17.28515625" style="52" customWidth="1"/>
    <col min="19" max="19" width="13.42578125" style="52" customWidth="1"/>
    <col min="20" max="20" width="30.5703125" style="52" customWidth="1"/>
    <col min="21" max="21" width="18.5703125" style="52" customWidth="1"/>
    <col min="22" max="22" width="17.28515625" style="52" customWidth="1"/>
    <col min="23" max="23" width="9.140625" style="52"/>
    <col min="24" max="24" width="40.42578125" style="52" customWidth="1"/>
    <col min="25" max="25" width="8.28515625" style="52" customWidth="1"/>
    <col min="26" max="26" width="30.85546875" style="52" customWidth="1"/>
    <col min="27" max="16384" width="9.140625" style="52"/>
  </cols>
  <sheetData>
    <row r="1" spans="1:28" ht="28.5" customHeight="1" x14ac:dyDescent="0.25">
      <c r="A1" s="70" t="s">
        <v>5</v>
      </c>
      <c r="B1" s="70"/>
      <c r="C1" s="70"/>
      <c r="D1" s="70"/>
      <c r="E1" s="70"/>
      <c r="F1" s="70"/>
      <c r="G1" s="70"/>
      <c r="H1" s="70"/>
      <c r="I1" s="70" t="s">
        <v>2</v>
      </c>
      <c r="J1" s="70"/>
      <c r="K1" s="70"/>
      <c r="L1" s="70"/>
      <c r="M1" s="51"/>
      <c r="N1" s="51"/>
      <c r="O1" s="61"/>
      <c r="P1" s="61"/>
      <c r="Q1" s="61"/>
      <c r="R1" s="6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40.5" customHeight="1" x14ac:dyDescent="0.25">
      <c r="A2" s="38" t="s">
        <v>0</v>
      </c>
      <c r="B2" s="3" t="s">
        <v>1</v>
      </c>
      <c r="C2" s="3" t="s">
        <v>72</v>
      </c>
      <c r="D2" s="48" t="s">
        <v>45</v>
      </c>
      <c r="E2" s="74" t="s">
        <v>47</v>
      </c>
      <c r="F2" s="74"/>
      <c r="G2" s="54" t="s">
        <v>70</v>
      </c>
      <c r="H2" s="54" t="s">
        <v>39</v>
      </c>
      <c r="I2" s="54" t="s">
        <v>3</v>
      </c>
      <c r="J2" s="54" t="s">
        <v>46</v>
      </c>
      <c r="K2" s="54" t="s">
        <v>4</v>
      </c>
      <c r="L2" s="54" t="s">
        <v>50</v>
      </c>
      <c r="M2" s="54" t="s">
        <v>71</v>
      </c>
      <c r="N2" s="3" t="s">
        <v>75</v>
      </c>
      <c r="O2" s="62" t="s">
        <v>78</v>
      </c>
      <c r="P2" s="62" t="s">
        <v>76</v>
      </c>
      <c r="Q2" s="62" t="s">
        <v>77</v>
      </c>
      <c r="R2" s="62" t="s">
        <v>79</v>
      </c>
      <c r="S2" s="62" t="s">
        <v>80</v>
      </c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53">
        <v>0</v>
      </c>
      <c r="B3" s="18">
        <f>U19*1</f>
        <v>448620000</v>
      </c>
      <c r="C3" s="18"/>
      <c r="D3" s="2"/>
      <c r="E3" s="2" t="s">
        <v>69</v>
      </c>
      <c r="F3" s="22">
        <f>B3/U19</f>
        <v>1</v>
      </c>
      <c r="G3" s="22"/>
      <c r="H3" s="2">
        <f>B3+D3</f>
        <v>448620000</v>
      </c>
      <c r="I3" s="2"/>
      <c r="J3" s="2"/>
      <c r="K3" s="2"/>
      <c r="L3" s="2"/>
      <c r="M3" s="55">
        <f>+B3</f>
        <v>448620000</v>
      </c>
      <c r="N3" s="23"/>
      <c r="O3" s="63">
        <f>+B3</f>
        <v>448620000</v>
      </c>
      <c r="P3" s="63">
        <f>-B3</f>
        <v>-448620000</v>
      </c>
      <c r="Q3" s="63">
        <f>+M3+P3</f>
        <v>0</v>
      </c>
      <c r="R3" s="63">
        <f>Q3/((1+$Z$15)^A3)</f>
        <v>0</v>
      </c>
      <c r="S3" s="67">
        <f>SUM($R$3:R3)</f>
        <v>0</v>
      </c>
      <c r="T3" s="71" t="s">
        <v>8</v>
      </c>
      <c r="U3" s="71"/>
      <c r="V3" s="71"/>
      <c r="X3" s="1"/>
      <c r="Y3" s="1"/>
      <c r="Z3" s="1"/>
      <c r="AA3" s="1"/>
      <c r="AB3" s="1"/>
    </row>
    <row r="4" spans="1:28" x14ac:dyDescent="0.25">
      <c r="A4" s="53">
        <v>1</v>
      </c>
      <c r="B4" s="2"/>
      <c r="C4" s="2"/>
      <c r="D4" s="2">
        <f>U20</f>
        <v>6000000</v>
      </c>
      <c r="E4" s="2">
        <f>$B$3*F4</f>
        <v>89724000</v>
      </c>
      <c r="F4" s="22">
        <v>0.2</v>
      </c>
      <c r="G4" s="57">
        <f>B3*U17</f>
        <v>49348200</v>
      </c>
      <c r="H4" s="2">
        <f>D4+G4+C4</f>
        <v>55348200</v>
      </c>
      <c r="I4" s="69">
        <f>U21</f>
        <v>29716</v>
      </c>
      <c r="J4" s="22">
        <v>0.01</v>
      </c>
      <c r="K4" s="2">
        <f>U12</f>
        <v>2096</v>
      </c>
      <c r="L4" s="2">
        <f>I4*K4</f>
        <v>62284736</v>
      </c>
      <c r="M4" s="55">
        <f>L4-H4</f>
        <v>6936536</v>
      </c>
      <c r="N4" s="23">
        <f>N3+M4</f>
        <v>6936536</v>
      </c>
      <c r="O4" s="63"/>
      <c r="P4" s="63">
        <f>-E4</f>
        <v>-89724000</v>
      </c>
      <c r="Q4" s="63">
        <f>+M4+P4</f>
        <v>-82787464</v>
      </c>
      <c r="R4" s="63">
        <f>Q4/((1+$Z$15)^A4)</f>
        <v>-77371461.68224299</v>
      </c>
      <c r="S4" s="67">
        <f>S3+R4</f>
        <v>-77371461.68224299</v>
      </c>
      <c r="T4" s="10" t="s">
        <v>32</v>
      </c>
      <c r="W4" s="1"/>
      <c r="X4" s="1"/>
      <c r="Y4" s="1"/>
      <c r="Z4" s="1"/>
      <c r="AA4" s="1"/>
      <c r="AB4" s="1"/>
    </row>
    <row r="5" spans="1:28" x14ac:dyDescent="0.25">
      <c r="A5" s="53">
        <v>2</v>
      </c>
      <c r="B5" s="2"/>
      <c r="C5" s="2"/>
      <c r="D5" s="2">
        <f>D4+D4*4%</f>
        <v>6240000</v>
      </c>
      <c r="E5" s="2">
        <f t="shared" ref="E5:E8" si="0">$B$3*F5</f>
        <v>89724000</v>
      </c>
      <c r="F5" s="22">
        <v>0.2</v>
      </c>
      <c r="G5" s="58">
        <f>+IF(A5&lt;=$U$18,($B$3-SUM(E4:E5))*$U$17,0)</f>
        <v>29608920</v>
      </c>
      <c r="H5" s="2">
        <f t="shared" ref="H5:H28" si="1">D5+G5+C5</f>
        <v>35848920</v>
      </c>
      <c r="I5" s="69">
        <f>I4-I4*J5</f>
        <v>29418.84</v>
      </c>
      <c r="J5" s="35">
        <v>0.01</v>
      </c>
      <c r="K5" s="2">
        <f>K4+K4*3%</f>
        <v>2158.88</v>
      </c>
      <c r="L5" s="2">
        <f t="shared" ref="L5:L28" si="2">I5*K5</f>
        <v>63511745.299200006</v>
      </c>
      <c r="M5" s="55">
        <f>L5-H5</f>
        <v>27662825.299200006</v>
      </c>
      <c r="N5" s="23">
        <f>N4+M5</f>
        <v>34599361.299200006</v>
      </c>
      <c r="O5" s="63"/>
      <c r="P5" s="63">
        <f>-E5</f>
        <v>-89724000</v>
      </c>
      <c r="Q5" s="63">
        <f t="shared" ref="Q5:Q28" si="3">+M5+P5</f>
        <v>-62061174.700799994</v>
      </c>
      <c r="R5" s="63">
        <f t="shared" ref="R5:R28" si="4">Q5/((1+$Z$15)^A5)</f>
        <v>-54206633.505808361</v>
      </c>
      <c r="S5" s="67">
        <f t="shared" ref="S5:S28" si="5">S4+R5</f>
        <v>-131578095.18805134</v>
      </c>
      <c r="T5" s="4"/>
      <c r="U5" s="1"/>
      <c r="V5" s="1"/>
      <c r="W5" s="1"/>
      <c r="X5" s="1"/>
      <c r="Y5" s="1"/>
      <c r="Z5" s="11"/>
      <c r="AA5" s="1"/>
      <c r="AB5" s="1"/>
    </row>
    <row r="6" spans="1:28" x14ac:dyDescent="0.25">
      <c r="A6" s="53">
        <v>3</v>
      </c>
      <c r="B6" s="2"/>
      <c r="C6" s="2"/>
      <c r="D6" s="2">
        <f>D5+D4*4%</f>
        <v>6480000</v>
      </c>
      <c r="E6" s="2">
        <f t="shared" si="0"/>
        <v>89724000</v>
      </c>
      <c r="F6" s="22">
        <v>0.2</v>
      </c>
      <c r="G6" s="58">
        <f>+IF(A6&lt;=$U$18,($B$3-SUM(E4:E6))*$U$17,0)</f>
        <v>19739280</v>
      </c>
      <c r="H6" s="2">
        <f t="shared" si="1"/>
        <v>26219280</v>
      </c>
      <c r="I6" s="69">
        <f>I5-I5*$U$11</f>
        <v>29301.164639999999</v>
      </c>
      <c r="J6" s="35">
        <v>4.0000000000000001E-3</v>
      </c>
      <c r="K6" s="2">
        <f t="shared" ref="K6:K28" si="6">K5+K5*3%</f>
        <v>2223.6464000000001</v>
      </c>
      <c r="L6" s="2">
        <f t="shared" si="2"/>
        <v>65155429.267543294</v>
      </c>
      <c r="M6" s="55">
        <f>L6-H6</f>
        <v>38936149.267543294</v>
      </c>
      <c r="N6" s="23">
        <f t="shared" ref="N6:N28" si="7">N5+M6</f>
        <v>73535510.566743299</v>
      </c>
      <c r="O6" s="63"/>
      <c r="P6" s="63">
        <f>-E6</f>
        <v>-89724000</v>
      </c>
      <c r="Q6" s="63">
        <f t="shared" si="3"/>
        <v>-50787850.732456706</v>
      </c>
      <c r="R6" s="63">
        <f t="shared" si="4"/>
        <v>-41458014.724753909</v>
      </c>
      <c r="S6" s="67">
        <f t="shared" si="5"/>
        <v>-173036109.91280526</v>
      </c>
      <c r="T6" s="72" t="s">
        <v>21</v>
      </c>
      <c r="U6" s="72"/>
      <c r="V6" s="72"/>
      <c r="W6" s="1"/>
      <c r="X6" s="17" t="s">
        <v>33</v>
      </c>
      <c r="Y6" s="13"/>
      <c r="Z6" s="12"/>
      <c r="AA6" s="1"/>
      <c r="AB6" s="1"/>
    </row>
    <row r="7" spans="1:28" x14ac:dyDescent="0.25">
      <c r="A7" s="53">
        <v>4</v>
      </c>
      <c r="B7" s="2"/>
      <c r="C7" s="2"/>
      <c r="D7" s="2">
        <f>D6+D4*4%</f>
        <v>6720000</v>
      </c>
      <c r="E7" s="2">
        <f t="shared" si="0"/>
        <v>89724000</v>
      </c>
      <c r="F7" s="22">
        <v>0.2</v>
      </c>
      <c r="G7" s="58">
        <f>+IF(A7&lt;=$U$18,($B$3-SUM(E4:E7))*$U$17,0)</f>
        <v>9869640</v>
      </c>
      <c r="H7" s="2">
        <f t="shared" si="1"/>
        <v>16589640</v>
      </c>
      <c r="I7" s="69">
        <f t="shared" ref="I7:I27" si="8">I6-I6*$U$11</f>
        <v>29183.959981439999</v>
      </c>
      <c r="J7" s="35">
        <v>4.0000000000000001E-3</v>
      </c>
      <c r="K7" s="2">
        <f t="shared" si="6"/>
        <v>2290.3557920000003</v>
      </c>
      <c r="L7" s="2">
        <f t="shared" si="2"/>
        <v>66841651.776987322</v>
      </c>
      <c r="M7" s="55">
        <f t="shared" ref="M7:M28" si="9">L7-H7</f>
        <v>50252011.776987322</v>
      </c>
      <c r="N7" s="23">
        <f>N6+M7</f>
        <v>123787522.34373063</v>
      </c>
      <c r="O7" s="63"/>
      <c r="P7" s="63">
        <f>-E7</f>
        <v>-89724000</v>
      </c>
      <c r="Q7" s="63">
        <f t="shared" si="3"/>
        <v>-39471988.223012678</v>
      </c>
      <c r="R7" s="63">
        <f t="shared" si="4"/>
        <v>-30112990.825332675</v>
      </c>
      <c r="S7" s="67">
        <f t="shared" si="5"/>
        <v>-203149100.73813793</v>
      </c>
      <c r="T7" s="6" t="s">
        <v>9</v>
      </c>
      <c r="U7" s="56">
        <v>30</v>
      </c>
      <c r="V7" s="53" t="s">
        <v>24</v>
      </c>
      <c r="W7" s="1"/>
      <c r="X7" s="17"/>
      <c r="Y7" s="13"/>
      <c r="Z7" s="12"/>
      <c r="AA7" s="1"/>
      <c r="AB7" s="1"/>
    </row>
    <row r="8" spans="1:28" x14ac:dyDescent="0.25">
      <c r="A8" s="53">
        <v>5</v>
      </c>
      <c r="B8" s="2"/>
      <c r="C8" s="2"/>
      <c r="D8" s="2">
        <f>D7+D4*4%</f>
        <v>6960000</v>
      </c>
      <c r="E8" s="2">
        <f t="shared" si="0"/>
        <v>89724000</v>
      </c>
      <c r="F8" s="22">
        <v>0.2</v>
      </c>
      <c r="G8" s="58">
        <f>+IF(A8&lt;=$U$18,($B$3-SUM(E4:E8))*$U$17,0)</f>
        <v>0</v>
      </c>
      <c r="H8" s="2">
        <f t="shared" si="1"/>
        <v>6960000</v>
      </c>
      <c r="I8" s="69">
        <f t="shared" si="8"/>
        <v>29067.224141514238</v>
      </c>
      <c r="J8" s="35">
        <v>4.0000000000000001E-3</v>
      </c>
      <c r="K8" s="2">
        <f t="shared" si="6"/>
        <v>2359.0664657600005</v>
      </c>
      <c r="L8" s="2">
        <f t="shared" si="2"/>
        <v>68571513.724975765</v>
      </c>
      <c r="M8" s="55">
        <f>L8-H8</f>
        <v>61611513.724975765</v>
      </c>
      <c r="N8" s="23">
        <f>N7+M8</f>
        <v>185399036.06870639</v>
      </c>
      <c r="O8" s="63"/>
      <c r="P8" s="63">
        <f>-E8</f>
        <v>-89724000</v>
      </c>
      <c r="Q8" s="63">
        <f t="shared" si="3"/>
        <v>-28112486.275024235</v>
      </c>
      <c r="R8" s="63">
        <f t="shared" si="4"/>
        <v>-20043814.185016591</v>
      </c>
      <c r="S8" s="67">
        <f t="shared" si="5"/>
        <v>-223192914.92315453</v>
      </c>
      <c r="T8" s="6" t="s">
        <v>10</v>
      </c>
      <c r="U8" s="7">
        <f>U19/U7</f>
        <v>14954000</v>
      </c>
      <c r="V8" s="53" t="s">
        <v>25</v>
      </c>
      <c r="W8" s="1"/>
      <c r="X8" s="17" t="s">
        <v>34</v>
      </c>
      <c r="Y8" s="13" t="s">
        <v>25</v>
      </c>
      <c r="Z8" s="12">
        <v>1822342759</v>
      </c>
      <c r="AA8" s="1"/>
      <c r="AB8" s="1"/>
    </row>
    <row r="9" spans="1:28" x14ac:dyDescent="0.25">
      <c r="A9" s="53">
        <v>6</v>
      </c>
      <c r="B9" s="2"/>
      <c r="C9" s="2"/>
      <c r="D9" s="2">
        <f>D8+D4*4%</f>
        <v>7200000</v>
      </c>
      <c r="E9" s="2"/>
      <c r="F9" s="36">
        <f>SUM(F3:F8)</f>
        <v>1.9999999999999998</v>
      </c>
      <c r="G9" s="58"/>
      <c r="H9" s="2">
        <f t="shared" si="1"/>
        <v>7200000</v>
      </c>
      <c r="I9" s="69">
        <f t="shared" si="8"/>
        <v>28950.955244948182</v>
      </c>
      <c r="J9" s="35">
        <v>4.0000000000000001E-3</v>
      </c>
      <c r="K9" s="2">
        <f t="shared" si="6"/>
        <v>2429.8384597328004</v>
      </c>
      <c r="L9" s="2">
        <f t="shared" si="2"/>
        <v>70346144.500178128</v>
      </c>
      <c r="M9" s="55">
        <f t="shared" si="9"/>
        <v>63146144.500178128</v>
      </c>
      <c r="N9" s="23">
        <f t="shared" si="7"/>
        <v>248545180.56888452</v>
      </c>
      <c r="O9" s="63"/>
      <c r="P9" s="63"/>
      <c r="Q9" s="63">
        <f t="shared" si="3"/>
        <v>63146144.500178128</v>
      </c>
      <c r="R9" s="63">
        <f t="shared" si="4"/>
        <v>42076942.351687536</v>
      </c>
      <c r="S9" s="67">
        <f t="shared" si="5"/>
        <v>-181115972.57146698</v>
      </c>
      <c r="T9" s="6" t="s">
        <v>11</v>
      </c>
      <c r="U9" s="7">
        <v>200000</v>
      </c>
      <c r="V9" s="53" t="s">
        <v>25</v>
      </c>
      <c r="W9" s="1"/>
      <c r="X9" s="17"/>
      <c r="Y9" s="13"/>
      <c r="Z9" s="12"/>
    </row>
    <row r="10" spans="1:28" x14ac:dyDescent="0.25">
      <c r="A10" s="37">
        <v>7</v>
      </c>
      <c r="B10" s="2"/>
      <c r="C10" s="2"/>
      <c r="D10" s="2">
        <f>D9+D4*4%</f>
        <v>7440000</v>
      </c>
      <c r="E10" s="2"/>
      <c r="F10" s="2"/>
      <c r="G10" s="58"/>
      <c r="H10" s="2">
        <f t="shared" si="1"/>
        <v>7440000</v>
      </c>
      <c r="I10" s="69">
        <f t="shared" si="8"/>
        <v>28835.151423968389</v>
      </c>
      <c r="J10" s="35">
        <v>4.0000000000000001E-3</v>
      </c>
      <c r="K10" s="2">
        <f t="shared" si="6"/>
        <v>2502.7336135247842</v>
      </c>
      <c r="L10" s="2">
        <f t="shared" si="2"/>
        <v>72166702.719842732</v>
      </c>
      <c r="M10" s="55">
        <f t="shared" si="9"/>
        <v>64726702.719842732</v>
      </c>
      <c r="N10" s="23">
        <f t="shared" si="7"/>
        <v>313271883.28872728</v>
      </c>
      <c r="O10" s="63"/>
      <c r="P10" s="63"/>
      <c r="Q10" s="63">
        <f t="shared" si="3"/>
        <v>64726702.719842732</v>
      </c>
      <c r="R10" s="63">
        <f t="shared" si="4"/>
        <v>40308537.411822721</v>
      </c>
      <c r="S10" s="67">
        <f t="shared" si="5"/>
        <v>-140807435.15964425</v>
      </c>
      <c r="T10" s="6" t="s">
        <v>22</v>
      </c>
      <c r="U10" s="7">
        <v>1083</v>
      </c>
      <c r="V10" s="53" t="s">
        <v>26</v>
      </c>
      <c r="W10" s="1"/>
      <c r="X10" s="17" t="s">
        <v>35</v>
      </c>
      <c r="Y10" s="13" t="s">
        <v>25</v>
      </c>
      <c r="Z10" s="12">
        <v>45558568982</v>
      </c>
      <c r="AA10" s="1"/>
      <c r="AB10" s="1"/>
    </row>
    <row r="11" spans="1:28" x14ac:dyDescent="0.25">
      <c r="A11" s="53">
        <v>8</v>
      </c>
      <c r="B11" s="2"/>
      <c r="C11" s="2"/>
      <c r="D11" s="2">
        <f>D10+D4*4%</f>
        <v>7680000</v>
      </c>
      <c r="E11" s="2"/>
      <c r="F11" s="2"/>
      <c r="G11" s="58"/>
      <c r="H11" s="2">
        <f t="shared" si="1"/>
        <v>7680000</v>
      </c>
      <c r="I11" s="69">
        <f t="shared" si="8"/>
        <v>28719.810818272515</v>
      </c>
      <c r="J11" s="35">
        <v>4.0000000000000001E-3</v>
      </c>
      <c r="K11" s="2">
        <f t="shared" si="6"/>
        <v>2577.8156219305279</v>
      </c>
      <c r="L11" s="2">
        <f t="shared" si="2"/>
        <v>74034376.986232266</v>
      </c>
      <c r="M11" s="55">
        <f t="shared" si="9"/>
        <v>66354376.986232266</v>
      </c>
      <c r="N11" s="23">
        <f>N10+M11</f>
        <v>379626260.27495956</v>
      </c>
      <c r="O11" s="63"/>
      <c r="P11" s="63"/>
      <c r="Q11" s="63">
        <f t="shared" si="3"/>
        <v>66354376.986232266</v>
      </c>
      <c r="R11" s="63">
        <f t="shared" si="4"/>
        <v>38618851.533728033</v>
      </c>
      <c r="S11" s="67">
        <f t="shared" si="5"/>
        <v>-102188583.62591621</v>
      </c>
      <c r="T11" s="6" t="s">
        <v>27</v>
      </c>
      <c r="U11" s="21">
        <v>4.0000000000000001E-3</v>
      </c>
      <c r="V11" s="53" t="s">
        <v>28</v>
      </c>
      <c r="W11" s="1"/>
      <c r="X11" s="17"/>
      <c r="Y11" s="13"/>
      <c r="Z11" s="12"/>
      <c r="AA11" s="1"/>
      <c r="AB11" s="1"/>
    </row>
    <row r="12" spans="1:28" x14ac:dyDescent="0.25">
      <c r="A12" s="53">
        <v>9</v>
      </c>
      <c r="B12" s="2"/>
      <c r="C12" s="2"/>
      <c r="D12" s="2">
        <f>D11+D4*4%</f>
        <v>7920000</v>
      </c>
      <c r="E12" s="2"/>
      <c r="F12" s="2"/>
      <c r="G12" s="58"/>
      <c r="H12" s="2">
        <f t="shared" si="1"/>
        <v>7920000</v>
      </c>
      <c r="I12" s="69">
        <f t="shared" si="8"/>
        <v>28604.931574999424</v>
      </c>
      <c r="J12" s="35">
        <v>4.0000000000000001E-3</v>
      </c>
      <c r="K12" s="2">
        <f t="shared" si="6"/>
        <v>2655.1500905884436</v>
      </c>
      <c r="L12" s="2">
        <f t="shared" si="2"/>
        <v>75950386.662635952</v>
      </c>
      <c r="M12" s="55">
        <f t="shared" si="9"/>
        <v>68030386.662635952</v>
      </c>
      <c r="N12" s="23">
        <f t="shared" si="7"/>
        <v>447656646.93759549</v>
      </c>
      <c r="O12" s="63"/>
      <c r="P12" s="63"/>
      <c r="Q12" s="63">
        <f t="shared" si="3"/>
        <v>68030386.662635952</v>
      </c>
      <c r="R12" s="63">
        <f t="shared" si="4"/>
        <v>37004022.826854281</v>
      </c>
      <c r="S12" s="67">
        <f t="shared" si="5"/>
        <v>-65184560.799061932</v>
      </c>
      <c r="T12" s="6" t="s">
        <v>12</v>
      </c>
      <c r="U12" s="7">
        <v>2096</v>
      </c>
      <c r="V12" s="53" t="s">
        <v>29</v>
      </c>
      <c r="W12" s="1"/>
      <c r="X12" s="17" t="s">
        <v>36</v>
      </c>
      <c r="Y12" s="13"/>
      <c r="Z12" s="33">
        <f>IRR(Q4:Q28,0)</f>
        <v>0.16270364513117963</v>
      </c>
      <c r="AA12" s="1"/>
      <c r="AB12" s="1"/>
    </row>
    <row r="13" spans="1:28" x14ac:dyDescent="0.25">
      <c r="A13" s="53">
        <v>10</v>
      </c>
      <c r="B13" s="2"/>
      <c r="C13" s="15">
        <f>SUM(U35:U36)</f>
        <v>54500000</v>
      </c>
      <c r="D13" s="2">
        <f>D12+D4*4%</f>
        <v>8160000</v>
      </c>
      <c r="E13" s="2"/>
      <c r="F13" s="2"/>
      <c r="G13" s="58"/>
      <c r="H13" s="2">
        <f t="shared" si="1"/>
        <v>62660000</v>
      </c>
      <c r="I13" s="69">
        <f t="shared" si="8"/>
        <v>28490.511848699425</v>
      </c>
      <c r="J13" s="35">
        <v>4.0000000000000001E-3</v>
      </c>
      <c r="K13" s="2">
        <f t="shared" si="6"/>
        <v>2734.8045933060971</v>
      </c>
      <c r="L13" s="2">
        <f t="shared" si="2"/>
        <v>77915982.669464976</v>
      </c>
      <c r="M13" s="55">
        <f t="shared" si="9"/>
        <v>15255982.669464976</v>
      </c>
      <c r="N13" s="23">
        <f t="shared" si="7"/>
        <v>462912629.60706043</v>
      </c>
      <c r="O13" s="63"/>
      <c r="P13" s="63"/>
      <c r="Q13" s="63">
        <f t="shared" si="3"/>
        <v>15255982.669464976</v>
      </c>
      <c r="R13" s="63">
        <f t="shared" si="4"/>
        <v>7755367.9908420425</v>
      </c>
      <c r="S13" s="67">
        <f t="shared" si="5"/>
        <v>-57429192.808219887</v>
      </c>
      <c r="T13" s="6" t="s">
        <v>13</v>
      </c>
      <c r="U13" s="8">
        <v>0.03</v>
      </c>
      <c r="V13" s="53" t="s">
        <v>30</v>
      </c>
      <c r="W13" s="1"/>
      <c r="X13" s="17" t="s">
        <v>68</v>
      </c>
      <c r="Y13" s="13" t="s">
        <v>28</v>
      </c>
      <c r="Z13" s="26">
        <f>U17</f>
        <v>0.11</v>
      </c>
      <c r="AA13" s="1"/>
      <c r="AB13" s="1"/>
    </row>
    <row r="14" spans="1:28" x14ac:dyDescent="0.25">
      <c r="A14" s="53">
        <v>11</v>
      </c>
      <c r="B14" s="2"/>
      <c r="C14" s="2"/>
      <c r="D14" s="2">
        <f>D13+D4*4%</f>
        <v>8400000</v>
      </c>
      <c r="E14" s="2"/>
      <c r="F14" s="2"/>
      <c r="G14" s="58"/>
      <c r="H14" s="2">
        <f t="shared" si="1"/>
        <v>8400000</v>
      </c>
      <c r="I14" s="69">
        <f t="shared" si="8"/>
        <v>28376.549801304627</v>
      </c>
      <c r="J14" s="35">
        <v>4.0000000000000001E-3</v>
      </c>
      <c r="K14" s="2">
        <f t="shared" si="6"/>
        <v>2816.84873110528</v>
      </c>
      <c r="L14" s="2">
        <f t="shared" si="2"/>
        <v>79932448.300950721</v>
      </c>
      <c r="M14" s="55">
        <f t="shared" si="9"/>
        <v>71532448.300950721</v>
      </c>
      <c r="N14" s="23">
        <f t="shared" si="7"/>
        <v>534445077.90801114</v>
      </c>
      <c r="O14" s="63"/>
      <c r="P14" s="63"/>
      <c r="Q14" s="63">
        <f t="shared" si="3"/>
        <v>71532448.300950721</v>
      </c>
      <c r="R14" s="63">
        <f t="shared" si="4"/>
        <v>33984550.895749152</v>
      </c>
      <c r="S14" s="67">
        <f t="shared" si="5"/>
        <v>-23444641.912470736</v>
      </c>
      <c r="T14" s="6" t="s">
        <v>14</v>
      </c>
      <c r="U14" s="19">
        <v>0.04</v>
      </c>
      <c r="V14" s="53" t="s">
        <v>30</v>
      </c>
      <c r="W14" s="1"/>
      <c r="X14" s="17" t="s">
        <v>37</v>
      </c>
      <c r="Y14" s="13"/>
      <c r="Z14" s="27">
        <f>U19/L32</f>
        <v>5.2425126303540504</v>
      </c>
      <c r="AA14" s="1"/>
      <c r="AB14" s="1"/>
    </row>
    <row r="15" spans="1:28" x14ac:dyDescent="0.25">
      <c r="A15" s="53">
        <v>12</v>
      </c>
      <c r="B15" s="2"/>
      <c r="C15" s="2"/>
      <c r="D15" s="2">
        <f>D14+D4*4%</f>
        <v>8640000</v>
      </c>
      <c r="E15" s="2"/>
      <c r="F15" s="2"/>
      <c r="G15" s="58"/>
      <c r="H15" s="2">
        <f t="shared" si="1"/>
        <v>8640000</v>
      </c>
      <c r="I15" s="69">
        <f t="shared" si="8"/>
        <v>28263.043602099409</v>
      </c>
      <c r="J15" s="35">
        <v>4.0000000000000001E-3</v>
      </c>
      <c r="K15" s="2">
        <f t="shared" si="6"/>
        <v>2901.3541930384386</v>
      </c>
      <c r="L15" s="2">
        <f t="shared" si="2"/>
        <v>82001100.062979341</v>
      </c>
      <c r="M15" s="55">
        <f t="shared" si="9"/>
        <v>73361100.062979341</v>
      </c>
      <c r="N15" s="23">
        <f t="shared" si="7"/>
        <v>607806177.97099042</v>
      </c>
      <c r="O15" s="63"/>
      <c r="P15" s="63"/>
      <c r="Q15" s="63">
        <f t="shared" si="3"/>
        <v>73361100.062979341</v>
      </c>
      <c r="R15" s="63">
        <f t="shared" si="4"/>
        <v>32573205.771019086</v>
      </c>
      <c r="S15" s="67">
        <f t="shared" si="5"/>
        <v>9128563.8585483506</v>
      </c>
      <c r="T15" s="6" t="s">
        <v>15</v>
      </c>
      <c r="U15" s="8">
        <v>1</v>
      </c>
      <c r="V15" s="53" t="s">
        <v>28</v>
      </c>
      <c r="W15" s="1"/>
      <c r="X15" s="17" t="s">
        <v>41</v>
      </c>
      <c r="Y15" s="13" t="s">
        <v>28</v>
      </c>
      <c r="Z15" s="66">
        <v>7.0000000000000007E-2</v>
      </c>
      <c r="AA15" s="1"/>
      <c r="AB15" s="1"/>
    </row>
    <row r="16" spans="1:28" x14ac:dyDescent="0.25">
      <c r="A16" s="53">
        <v>13</v>
      </c>
      <c r="B16" s="2"/>
      <c r="C16" s="2"/>
      <c r="D16" s="2">
        <f>D15+D4*4%</f>
        <v>8880000</v>
      </c>
      <c r="E16" s="2"/>
      <c r="F16" s="2"/>
      <c r="G16" s="58"/>
      <c r="H16" s="2">
        <f t="shared" si="1"/>
        <v>8880000</v>
      </c>
      <c r="I16" s="69">
        <f t="shared" si="8"/>
        <v>28149.991427691013</v>
      </c>
      <c r="J16" s="35">
        <v>4.0000000000000001E-3</v>
      </c>
      <c r="K16" s="2">
        <f t="shared" si="6"/>
        <v>2988.3948188295917</v>
      </c>
      <c r="L16" s="2">
        <f t="shared" si="2"/>
        <v>84123288.532609239</v>
      </c>
      <c r="M16" s="55">
        <f t="shared" si="9"/>
        <v>75243288.532609239</v>
      </c>
      <c r="N16" s="23">
        <f t="shared" si="7"/>
        <v>683049466.50359964</v>
      </c>
      <c r="O16" s="63"/>
      <c r="P16" s="63"/>
      <c r="Q16" s="63">
        <f t="shared" si="3"/>
        <v>75243288.532609239</v>
      </c>
      <c r="R16" s="63">
        <f t="shared" si="4"/>
        <v>31223289.683252126</v>
      </c>
      <c r="S16" s="67">
        <f t="shared" si="5"/>
        <v>40351853.541800477</v>
      </c>
      <c r="T16" s="6" t="s">
        <v>16</v>
      </c>
      <c r="U16" s="8">
        <v>1</v>
      </c>
      <c r="V16" s="53" t="s">
        <v>28</v>
      </c>
      <c r="W16" s="1"/>
      <c r="X16" s="17" t="s">
        <v>38</v>
      </c>
      <c r="Y16" s="13" t="s">
        <v>25</v>
      </c>
      <c r="Z16" s="25">
        <f>NPV(Z15,M4:M28) +M3</f>
        <v>1130968699.2223158</v>
      </c>
      <c r="AA16" s="1"/>
      <c r="AB16" s="1"/>
    </row>
    <row r="17" spans="1:28" x14ac:dyDescent="0.25">
      <c r="A17" s="53">
        <v>14</v>
      </c>
      <c r="B17" s="2"/>
      <c r="C17" s="2"/>
      <c r="D17" s="2">
        <f>D16+D4*4%</f>
        <v>9120000</v>
      </c>
      <c r="E17" s="2"/>
      <c r="F17" s="2"/>
      <c r="G17" s="58"/>
      <c r="H17" s="2">
        <f t="shared" si="1"/>
        <v>9120000</v>
      </c>
      <c r="I17" s="69">
        <f t="shared" si="8"/>
        <v>28037.391461980249</v>
      </c>
      <c r="J17" s="35">
        <v>4.0000000000000001E-3</v>
      </c>
      <c r="K17" s="2">
        <f t="shared" si="6"/>
        <v>3078.0466633944793</v>
      </c>
      <c r="L17" s="2">
        <f t="shared" si="2"/>
        <v>86300399.239833161</v>
      </c>
      <c r="M17" s="55">
        <f t="shared" si="9"/>
        <v>77180399.239833161</v>
      </c>
      <c r="N17" s="23">
        <f t="shared" si="7"/>
        <v>760229865.74343276</v>
      </c>
      <c r="O17" s="63"/>
      <c r="P17" s="63"/>
      <c r="Q17" s="63">
        <f t="shared" si="3"/>
        <v>77180399.239833161</v>
      </c>
      <c r="R17" s="63">
        <f t="shared" si="4"/>
        <v>29931889.493807737</v>
      </c>
      <c r="S17" s="67">
        <f t="shared" si="5"/>
        <v>70283743.035608217</v>
      </c>
      <c r="T17" s="6" t="s">
        <v>17</v>
      </c>
      <c r="U17" s="8">
        <v>0.11</v>
      </c>
      <c r="V17" s="53" t="s">
        <v>28</v>
      </c>
      <c r="W17" s="1">
        <v>5</v>
      </c>
      <c r="X17" s="1"/>
      <c r="Y17" s="1"/>
      <c r="Z17" s="1"/>
      <c r="AA17" s="1"/>
      <c r="AB17" s="1"/>
    </row>
    <row r="18" spans="1:28" x14ac:dyDescent="0.25">
      <c r="A18" s="53">
        <v>15</v>
      </c>
      <c r="B18" s="2"/>
      <c r="C18" s="2"/>
      <c r="D18" s="2">
        <f>D17+D4*4%</f>
        <v>9360000</v>
      </c>
      <c r="E18" s="2"/>
      <c r="F18" s="2"/>
      <c r="G18" s="58"/>
      <c r="H18" s="2">
        <f t="shared" si="1"/>
        <v>9360000</v>
      </c>
      <c r="I18" s="69">
        <f t="shared" si="8"/>
        <v>27925.241896132327</v>
      </c>
      <c r="J18" s="35">
        <v>4.0000000000000001E-3</v>
      </c>
      <c r="K18" s="2">
        <f t="shared" si="6"/>
        <v>3170.3880632963137</v>
      </c>
      <c r="L18" s="2">
        <f t="shared" si="2"/>
        <v>88533853.57216005</v>
      </c>
      <c r="M18" s="55">
        <f t="shared" si="9"/>
        <v>79173853.57216005</v>
      </c>
      <c r="N18" s="23">
        <f t="shared" si="7"/>
        <v>839403719.31559277</v>
      </c>
      <c r="O18" s="63"/>
      <c r="P18" s="63"/>
      <c r="Q18" s="63">
        <f t="shared" si="3"/>
        <v>79173853.57216005</v>
      </c>
      <c r="R18" s="63">
        <f t="shared" si="4"/>
        <v>28696248.086976431</v>
      </c>
      <c r="S18" s="67">
        <f t="shared" si="5"/>
        <v>98979991.122584641</v>
      </c>
      <c r="T18" s="6" t="s">
        <v>18</v>
      </c>
      <c r="U18" s="9">
        <v>5</v>
      </c>
      <c r="V18" s="53" t="s">
        <v>0</v>
      </c>
      <c r="W18" s="1">
        <v>4</v>
      </c>
      <c r="X18" s="1"/>
      <c r="Y18" s="1"/>
      <c r="Z18" s="1"/>
      <c r="AA18" s="1"/>
      <c r="AB18" s="1"/>
    </row>
    <row r="19" spans="1:28" x14ac:dyDescent="0.25">
      <c r="A19" s="53">
        <v>16</v>
      </c>
      <c r="B19" s="2"/>
      <c r="C19" s="2"/>
      <c r="D19" s="2">
        <f>D18+D4*4%</f>
        <v>9600000</v>
      </c>
      <c r="E19" s="2"/>
      <c r="F19" s="2"/>
      <c r="G19" s="58"/>
      <c r="H19" s="2">
        <f t="shared" si="1"/>
        <v>9600000</v>
      </c>
      <c r="I19" s="69">
        <f t="shared" si="8"/>
        <v>27813.540928547798</v>
      </c>
      <c r="J19" s="35">
        <v>4.0000000000000001E-3</v>
      </c>
      <c r="K19" s="2">
        <f t="shared" si="6"/>
        <v>3265.4997051952032</v>
      </c>
      <c r="L19" s="2">
        <f t="shared" si="2"/>
        <v>90825109.702607557</v>
      </c>
      <c r="M19" s="55">
        <f t="shared" si="9"/>
        <v>81225109.702607557</v>
      </c>
      <c r="N19" s="23">
        <f t="shared" si="7"/>
        <v>920628829.01820028</v>
      </c>
      <c r="O19" s="63"/>
      <c r="P19" s="63"/>
      <c r="Q19" s="63">
        <f t="shared" si="3"/>
        <v>81225109.702607557</v>
      </c>
      <c r="R19" s="63">
        <f t="shared" si="4"/>
        <v>27513754.866097309</v>
      </c>
      <c r="S19" s="67">
        <f t="shared" si="5"/>
        <v>126493745.98868194</v>
      </c>
      <c r="T19" s="6" t="s">
        <v>19</v>
      </c>
      <c r="U19" s="7">
        <v>448620000</v>
      </c>
      <c r="V19" s="53" t="s">
        <v>25</v>
      </c>
      <c r="W19" s="1">
        <v>3</v>
      </c>
      <c r="X19" s="1"/>
      <c r="Y19" s="1"/>
      <c r="Z19" s="1" t="s">
        <v>40</v>
      </c>
      <c r="AA19" s="1"/>
      <c r="AB19" s="1"/>
    </row>
    <row r="20" spans="1:28" x14ac:dyDescent="0.25">
      <c r="A20" s="53">
        <v>17</v>
      </c>
      <c r="B20" s="2"/>
      <c r="C20" s="2"/>
      <c r="D20" s="2">
        <f>D19+D4*4%</f>
        <v>9840000</v>
      </c>
      <c r="E20" s="2"/>
      <c r="F20" s="2"/>
      <c r="G20" s="58"/>
      <c r="H20" s="2">
        <f t="shared" si="1"/>
        <v>9840000</v>
      </c>
      <c r="I20" s="69">
        <f t="shared" si="8"/>
        <v>27702.286764833607</v>
      </c>
      <c r="J20" s="35">
        <v>4.0000000000000001E-3</v>
      </c>
      <c r="K20" s="2">
        <f t="shared" si="6"/>
        <v>3363.4646963510595</v>
      </c>
      <c r="L20" s="2">
        <f t="shared" si="2"/>
        <v>93175663.541711047</v>
      </c>
      <c r="M20" s="55">
        <f t="shared" si="9"/>
        <v>83335663.541711047</v>
      </c>
      <c r="N20" s="23">
        <f t="shared" si="7"/>
        <v>1003964492.5599114</v>
      </c>
      <c r="O20" s="63"/>
      <c r="P20" s="63"/>
      <c r="Q20" s="63">
        <f t="shared" si="3"/>
        <v>83335663.541711047</v>
      </c>
      <c r="R20" s="63">
        <f t="shared" si="4"/>
        <v>26381936.88963934</v>
      </c>
      <c r="S20" s="67">
        <f t="shared" si="5"/>
        <v>152875682.87832129</v>
      </c>
      <c r="T20" s="6" t="s">
        <v>20</v>
      </c>
      <c r="U20" s="7">
        <f>U7*U9</f>
        <v>6000000</v>
      </c>
      <c r="V20" s="53" t="s">
        <v>25</v>
      </c>
      <c r="W20" s="1">
        <v>2</v>
      </c>
      <c r="X20" s="1"/>
      <c r="Y20" s="1"/>
      <c r="Z20" s="1"/>
      <c r="AA20" s="1"/>
      <c r="AB20" s="1"/>
    </row>
    <row r="21" spans="1:28" x14ac:dyDescent="0.25">
      <c r="A21" s="53">
        <v>18</v>
      </c>
      <c r="B21" s="2"/>
      <c r="C21" s="2"/>
      <c r="D21" s="2">
        <f>D20+D4*4%</f>
        <v>10080000</v>
      </c>
      <c r="E21" s="2"/>
      <c r="F21" s="2"/>
      <c r="G21" s="58"/>
      <c r="H21" s="2">
        <f t="shared" si="1"/>
        <v>10080000</v>
      </c>
      <c r="I21" s="69">
        <f t="shared" si="8"/>
        <v>27591.477617774271</v>
      </c>
      <c r="J21" s="35">
        <v>4.0000000000000001E-3</v>
      </c>
      <c r="K21" s="2">
        <f t="shared" si="6"/>
        <v>3464.3686372415914</v>
      </c>
      <c r="L21" s="2">
        <f t="shared" si="2"/>
        <v>95587049.71417053</v>
      </c>
      <c r="M21" s="55">
        <f t="shared" si="9"/>
        <v>85507049.71417053</v>
      </c>
      <c r="N21" s="23">
        <f t="shared" si="7"/>
        <v>1089471542.2740819</v>
      </c>
      <c r="O21" s="63"/>
      <c r="P21" s="63"/>
      <c r="Q21" s="63">
        <f t="shared" si="3"/>
        <v>85507049.71417053</v>
      </c>
      <c r="R21" s="63">
        <f t="shared" si="4"/>
        <v>25298450.601540092</v>
      </c>
      <c r="S21" s="67">
        <f t="shared" si="5"/>
        <v>178174133.47986138</v>
      </c>
      <c r="T21" s="6" t="s">
        <v>23</v>
      </c>
      <c r="U21" s="68">
        <v>29716</v>
      </c>
      <c r="V21" s="53" t="s">
        <v>31</v>
      </c>
      <c r="W21" s="1">
        <v>1</v>
      </c>
      <c r="X21" s="1"/>
      <c r="Y21" s="1"/>
      <c r="Z21" s="1"/>
      <c r="AA21" s="1"/>
      <c r="AB21" s="1"/>
    </row>
    <row r="22" spans="1:28" x14ac:dyDescent="0.25">
      <c r="A22" s="53">
        <v>19</v>
      </c>
      <c r="B22" s="2"/>
      <c r="C22" s="2"/>
      <c r="D22" s="2">
        <f>D21+D4*4%</f>
        <v>10320000</v>
      </c>
      <c r="E22" s="2"/>
      <c r="F22" s="2"/>
      <c r="G22" s="58"/>
      <c r="H22" s="2">
        <f t="shared" si="1"/>
        <v>10320000</v>
      </c>
      <c r="I22" s="69">
        <f t="shared" si="8"/>
        <v>27481.111707303175</v>
      </c>
      <c r="J22" s="35">
        <v>4.0000000000000001E-3</v>
      </c>
      <c r="K22" s="2">
        <f t="shared" si="6"/>
        <v>3568.2996963588394</v>
      </c>
      <c r="L22" s="2">
        <f t="shared" si="2"/>
        <v>98060842.560773268</v>
      </c>
      <c r="M22" s="55">
        <f t="shared" si="9"/>
        <v>87740842.560773268</v>
      </c>
      <c r="N22" s="23">
        <f t="shared" si="7"/>
        <v>1177212384.8348553</v>
      </c>
      <c r="O22" s="63"/>
      <c r="P22" s="63"/>
      <c r="Q22" s="63">
        <f t="shared" si="3"/>
        <v>87740842.560773268</v>
      </c>
      <c r="R22" s="63">
        <f t="shared" si="4"/>
        <v>24261074.113445934</v>
      </c>
      <c r="S22" s="67">
        <f t="shared" si="5"/>
        <v>202435207.59330732</v>
      </c>
      <c r="T22" s="5" t="s">
        <v>42</v>
      </c>
      <c r="U22" s="30">
        <f>E4*$U$17*W17</f>
        <v>49348200</v>
      </c>
      <c r="V22" s="5"/>
      <c r="W22" s="1"/>
      <c r="X22" s="1"/>
      <c r="Y22" s="1"/>
      <c r="Z22" s="1">
        <v>136</v>
      </c>
      <c r="AA22" s="1"/>
      <c r="AB22" s="1"/>
    </row>
    <row r="23" spans="1:28" x14ac:dyDescent="0.25">
      <c r="A23" s="53">
        <v>20</v>
      </c>
      <c r="B23" s="2"/>
      <c r="C23" s="15">
        <f>C13</f>
        <v>54500000</v>
      </c>
      <c r="D23" s="2">
        <f>D22+D4*4%</f>
        <v>10560000</v>
      </c>
      <c r="E23" s="2"/>
      <c r="F23" s="2"/>
      <c r="G23" s="58"/>
      <c r="H23" s="2">
        <f t="shared" si="1"/>
        <v>65060000</v>
      </c>
      <c r="I23" s="69">
        <f t="shared" si="8"/>
        <v>27371.187260473962</v>
      </c>
      <c r="J23" s="35">
        <v>4.0000000000000001E-3</v>
      </c>
      <c r="K23" s="2">
        <f t="shared" si="6"/>
        <v>3675.3486872496046</v>
      </c>
      <c r="L23" s="2">
        <f t="shared" si="2"/>
        <v>100598657.16624607</v>
      </c>
      <c r="M23" s="55">
        <f t="shared" si="9"/>
        <v>35538657.166246071</v>
      </c>
      <c r="N23" s="23">
        <f t="shared" si="7"/>
        <v>1212751042.0011015</v>
      </c>
      <c r="O23" s="63"/>
      <c r="P23" s="63"/>
      <c r="Q23" s="63">
        <f t="shared" si="3"/>
        <v>35538657.166246071</v>
      </c>
      <c r="R23" s="63">
        <f t="shared" si="4"/>
        <v>9183864.346245259</v>
      </c>
      <c r="S23" s="67">
        <f t="shared" si="5"/>
        <v>211619071.93955258</v>
      </c>
      <c r="T23" s="5"/>
      <c r="U23" s="30">
        <f>E5*$U$17*W18</f>
        <v>39478560</v>
      </c>
      <c r="V23" s="5"/>
      <c r="W23" s="1"/>
      <c r="X23" s="1">
        <v>11000000</v>
      </c>
      <c r="Y23" s="1"/>
      <c r="Z23" s="1">
        <v>590</v>
      </c>
      <c r="AA23" s="1"/>
      <c r="AB23" s="1"/>
    </row>
    <row r="24" spans="1:28" x14ac:dyDescent="0.25">
      <c r="A24" s="53">
        <v>21</v>
      </c>
      <c r="B24" s="2"/>
      <c r="C24" s="2"/>
      <c r="D24" s="2">
        <f>D23+D4*4%</f>
        <v>10800000</v>
      </c>
      <c r="E24" s="2"/>
      <c r="F24" s="2"/>
      <c r="G24" s="58"/>
      <c r="H24" s="2">
        <f t="shared" si="1"/>
        <v>10800000</v>
      </c>
      <c r="I24" s="69">
        <f t="shared" si="8"/>
        <v>27261.702511432068</v>
      </c>
      <c r="J24" s="35">
        <v>4.0000000000000001E-3</v>
      </c>
      <c r="K24" s="2">
        <f t="shared" si="6"/>
        <v>3785.6091478670928</v>
      </c>
      <c r="L24" s="2">
        <f t="shared" si="2"/>
        <v>103202150.41370854</v>
      </c>
      <c r="M24" s="55">
        <f t="shared" si="9"/>
        <v>92402150.413708538</v>
      </c>
      <c r="N24" s="23">
        <f t="shared" si="7"/>
        <v>1305153192.4148099</v>
      </c>
      <c r="O24" s="63"/>
      <c r="P24" s="63"/>
      <c r="Q24" s="63">
        <f t="shared" si="3"/>
        <v>92402150.413708538</v>
      </c>
      <c r="R24" s="63">
        <f t="shared" si="4"/>
        <v>22316328.568007164</v>
      </c>
      <c r="S24" s="67">
        <f t="shared" si="5"/>
        <v>233935400.50755975</v>
      </c>
      <c r="T24" s="28"/>
      <c r="U24" s="30">
        <f t="shared" ref="U24" si="10">E6*$U$17*W19</f>
        <v>29608920</v>
      </c>
      <c r="V24" s="29"/>
      <c r="W24" s="1"/>
      <c r="X24" s="1">
        <v>80.239999999999995</v>
      </c>
      <c r="Y24" s="1" t="s">
        <v>44</v>
      </c>
      <c r="Z24" s="32">
        <f>Z22*Z23</f>
        <v>80240</v>
      </c>
      <c r="AA24" s="1"/>
      <c r="AB24" s="1"/>
    </row>
    <row r="25" spans="1:28" x14ac:dyDescent="0.25">
      <c r="A25" s="53">
        <v>22</v>
      </c>
      <c r="B25" s="2"/>
      <c r="C25" s="2"/>
      <c r="D25" s="2">
        <f>D24+D4*4%</f>
        <v>11040000</v>
      </c>
      <c r="E25" s="2"/>
      <c r="F25" s="2"/>
      <c r="G25" s="58"/>
      <c r="H25" s="2">
        <f t="shared" si="1"/>
        <v>11040000</v>
      </c>
      <c r="I25" s="69">
        <f t="shared" si="8"/>
        <v>27152.655701386338</v>
      </c>
      <c r="J25" s="35">
        <v>4.0000000000000001E-3</v>
      </c>
      <c r="K25" s="2">
        <f t="shared" si="6"/>
        <v>3899.1774223031057</v>
      </c>
      <c r="L25" s="2">
        <f t="shared" si="2"/>
        <v>105873022.06641531</v>
      </c>
      <c r="M25" s="55">
        <f t="shared" si="9"/>
        <v>94833022.06641531</v>
      </c>
      <c r="N25" s="23">
        <f t="shared" si="7"/>
        <v>1399986214.4812253</v>
      </c>
      <c r="O25" s="63"/>
      <c r="P25" s="63"/>
      <c r="Q25" s="63">
        <f t="shared" si="3"/>
        <v>94833022.06641531</v>
      </c>
      <c r="R25" s="63">
        <f t="shared" si="4"/>
        <v>21405061.574136298</v>
      </c>
      <c r="S25" s="67">
        <f t="shared" si="5"/>
        <v>255340462.08169603</v>
      </c>
      <c r="T25" s="6"/>
      <c r="U25" s="30">
        <f>E7*$U$17*W20</f>
        <v>19739280</v>
      </c>
      <c r="V25" s="53"/>
      <c r="W25" s="1"/>
      <c r="X25" s="47">
        <f>U19/(X24+U27)</f>
        <v>3.030301387883223</v>
      </c>
      <c r="Y25" s="1"/>
      <c r="Z25" s="1"/>
      <c r="AA25" s="1"/>
      <c r="AB25" s="1"/>
    </row>
    <row r="26" spans="1:28" x14ac:dyDescent="0.25">
      <c r="A26" s="53">
        <v>23</v>
      </c>
      <c r="B26" s="2"/>
      <c r="C26" s="2"/>
      <c r="D26" s="2">
        <f>D25+D4*4%</f>
        <v>11280000</v>
      </c>
      <c r="E26" s="2"/>
      <c r="F26" s="2"/>
      <c r="G26" s="58"/>
      <c r="H26" s="2">
        <f t="shared" si="1"/>
        <v>11280000</v>
      </c>
      <c r="I26" s="69">
        <f t="shared" si="8"/>
        <v>27044.045078580792</v>
      </c>
      <c r="J26" s="35">
        <v>4.0000000000000001E-3</v>
      </c>
      <c r="K26" s="2">
        <f t="shared" si="6"/>
        <v>4016.1527449721989</v>
      </c>
      <c r="L26" s="2">
        <f t="shared" si="2"/>
        <v>108613015.87749413</v>
      </c>
      <c r="M26" s="55">
        <f t="shared" si="9"/>
        <v>97333015.877494127</v>
      </c>
      <c r="N26" s="23">
        <f t="shared" si="7"/>
        <v>1497319230.3587193</v>
      </c>
      <c r="O26" s="63"/>
      <c r="P26" s="63"/>
      <c r="Q26" s="63">
        <f t="shared" si="3"/>
        <v>97333015.877494127</v>
      </c>
      <c r="R26" s="63">
        <f t="shared" si="4"/>
        <v>20532096.345947433</v>
      </c>
      <c r="S26" s="67">
        <f t="shared" si="5"/>
        <v>275872558.42764348</v>
      </c>
      <c r="T26" s="6"/>
      <c r="U26" s="30">
        <f>E8*$U$17*W21</f>
        <v>9869640</v>
      </c>
      <c r="V26" s="53"/>
      <c r="W26" s="1"/>
      <c r="X26" s="32">
        <f>160000000/800</f>
        <v>200000</v>
      </c>
      <c r="Y26" s="1"/>
      <c r="Z26" s="1"/>
      <c r="AA26" s="1"/>
      <c r="AB26" s="1"/>
    </row>
    <row r="27" spans="1:28" x14ac:dyDescent="0.25">
      <c r="A27" s="53">
        <v>24</v>
      </c>
      <c r="B27" s="2"/>
      <c r="C27" s="2"/>
      <c r="D27" s="2">
        <f>D26+D4*4%</f>
        <v>11520000</v>
      </c>
      <c r="E27" s="2"/>
      <c r="F27" s="2"/>
      <c r="G27" s="58"/>
      <c r="H27" s="2">
        <f t="shared" si="1"/>
        <v>11520000</v>
      </c>
      <c r="I27" s="69">
        <f t="shared" si="8"/>
        <v>26935.868898266468</v>
      </c>
      <c r="J27" s="35">
        <v>4.0000000000000001E-3</v>
      </c>
      <c r="K27" s="2">
        <f t="shared" si="6"/>
        <v>4136.6373273213649</v>
      </c>
      <c r="L27" s="2">
        <f t="shared" si="2"/>
        <v>111423920.72840367</v>
      </c>
      <c r="M27" s="55">
        <f t="shared" si="9"/>
        <v>99903920.728403673</v>
      </c>
      <c r="N27" s="23">
        <f t="shared" si="7"/>
        <v>1597223151.0871229</v>
      </c>
      <c r="O27" s="63"/>
      <c r="P27" s="63"/>
      <c r="Q27" s="63">
        <f t="shared" si="3"/>
        <v>99903920.728403673</v>
      </c>
      <c r="R27" s="63">
        <f t="shared" si="4"/>
        <v>19695720.291237276</v>
      </c>
      <c r="S27" s="67">
        <f t="shared" si="5"/>
        <v>295568278.71888077</v>
      </c>
      <c r="T27" s="6" t="s">
        <v>43</v>
      </c>
      <c r="U27" s="31">
        <f>SUM(U22:U26)</f>
        <v>148044600</v>
      </c>
      <c r="V27" s="53"/>
      <c r="W27" s="1"/>
      <c r="X27" s="1"/>
      <c r="Y27" s="1"/>
      <c r="Z27" s="1"/>
      <c r="AA27" s="1"/>
      <c r="AB27" s="1"/>
    </row>
    <row r="28" spans="1:28" x14ac:dyDescent="0.25">
      <c r="A28" s="53">
        <v>25</v>
      </c>
      <c r="B28" s="2"/>
      <c r="C28" s="2"/>
      <c r="D28" s="2">
        <f>D27+D4*4%</f>
        <v>11760000</v>
      </c>
      <c r="E28" s="49">
        <f>E29/U19</f>
        <v>1</v>
      </c>
      <c r="F28" s="2"/>
      <c r="G28" s="58"/>
      <c r="H28" s="2">
        <f t="shared" si="1"/>
        <v>11760000</v>
      </c>
      <c r="I28" s="69">
        <f>I27-I27*$U$11</f>
        <v>26828.125422673402</v>
      </c>
      <c r="J28" s="35">
        <v>4.0000000000000001E-3</v>
      </c>
      <c r="K28" s="2">
        <f t="shared" si="6"/>
        <v>4260.7364471410056</v>
      </c>
      <c r="L28" s="2">
        <f t="shared" si="2"/>
        <v>114307571.79685476</v>
      </c>
      <c r="M28" s="55">
        <f t="shared" si="9"/>
        <v>102547571.79685476</v>
      </c>
      <c r="N28" s="23">
        <f t="shared" si="7"/>
        <v>1699770722.8839777</v>
      </c>
      <c r="O28" s="63"/>
      <c r="P28" s="63"/>
      <c r="Q28" s="63">
        <f t="shared" si="3"/>
        <v>102547571.79685476</v>
      </c>
      <c r="R28" s="63">
        <f t="shared" si="4"/>
        <v>18894305.760473303</v>
      </c>
      <c r="S28" s="67">
        <f t="shared" si="5"/>
        <v>314462584.47935408</v>
      </c>
      <c r="T28" s="6"/>
      <c r="U28" s="7"/>
      <c r="V28" s="53"/>
      <c r="W28" s="1"/>
      <c r="X28" s="34">
        <f>L4/H3</f>
        <v>0.13883628906424145</v>
      </c>
      <c r="Y28" s="1"/>
      <c r="Z28" s="1"/>
      <c r="AA28" s="1"/>
      <c r="AB28" s="1"/>
    </row>
    <row r="29" spans="1:28" x14ac:dyDescent="0.25">
      <c r="A29" s="14" t="s">
        <v>6</v>
      </c>
      <c r="B29" s="14" t="s">
        <v>6</v>
      </c>
      <c r="C29" s="14"/>
      <c r="D29" s="16">
        <f>SUM(D4:D28)</f>
        <v>222000000</v>
      </c>
      <c r="E29" s="15">
        <f>SUM(E4:E8)</f>
        <v>448620000</v>
      </c>
      <c r="F29" s="15"/>
      <c r="G29" s="15"/>
      <c r="H29" s="15">
        <f>SUM(H3:H28)</f>
        <v>888186040</v>
      </c>
      <c r="I29" s="15">
        <f>SUM(I4:I28)</f>
        <v>704222.76975432166</v>
      </c>
      <c r="J29" s="15"/>
      <c r="K29" s="15"/>
      <c r="L29" s="15">
        <f>SUM(L4:L28)</f>
        <v>2139336762.8839777</v>
      </c>
      <c r="M29" s="20">
        <f>SUM(M3:M28)</f>
        <v>2148390722.8839779</v>
      </c>
      <c r="N29" s="24"/>
      <c r="O29" s="64"/>
      <c r="P29" s="64"/>
      <c r="Q29" s="64"/>
      <c r="R29" s="64"/>
      <c r="S29" s="1"/>
      <c r="T29" s="6"/>
      <c r="U29" s="8"/>
      <c r="V29" s="53"/>
      <c r="W29" s="1"/>
      <c r="X29" s="1"/>
      <c r="Y29" s="1"/>
      <c r="Z29" s="1"/>
      <c r="AA29" s="1"/>
      <c r="AB29" s="1"/>
    </row>
    <row r="30" spans="1:28" x14ac:dyDescent="0.25">
      <c r="A30" s="14" t="s">
        <v>7</v>
      </c>
      <c r="B30" s="14" t="s">
        <v>7</v>
      </c>
      <c r="C30" s="14"/>
      <c r="D30" s="15">
        <f>AVERAGE(D4:D28)</f>
        <v>8880000</v>
      </c>
      <c r="E30" s="15"/>
      <c r="F30" s="15"/>
      <c r="G30" s="15"/>
      <c r="H30" s="15">
        <f>AVERAGE(H3:H28)</f>
        <v>34161001.538461536</v>
      </c>
      <c r="I30" s="15">
        <f>AVERAGE(I4:I28)</f>
        <v>28168.910790172868</v>
      </c>
      <c r="J30" s="15"/>
      <c r="K30" s="15"/>
      <c r="L30" s="15">
        <f>AVERAGE(L4:L28)</f>
        <v>85573470.515359104</v>
      </c>
      <c r="M30" s="15">
        <f>AVERAGE(M3:M28)</f>
        <v>82630412.418614537</v>
      </c>
      <c r="N30" s="15"/>
      <c r="O30" s="65"/>
      <c r="P30" s="65"/>
      <c r="Q30" s="65">
        <f>AVERAGE(Q3:Q28)</f>
        <v>48121181.649383768</v>
      </c>
      <c r="R30" s="65"/>
      <c r="S30" s="1"/>
      <c r="T30" s="6" t="s">
        <v>12</v>
      </c>
      <c r="U30" s="7"/>
      <c r="V30" s="53"/>
      <c r="W30" s="1"/>
      <c r="X30" s="1"/>
      <c r="Y30" s="1"/>
      <c r="Z30" s="1"/>
      <c r="AA30" s="1"/>
      <c r="AB30" s="1"/>
    </row>
    <row r="31" spans="1:28" x14ac:dyDescent="0.25">
      <c r="A31" s="53"/>
      <c r="B31" s="1"/>
      <c r="C31" s="1"/>
      <c r="D31" s="1"/>
      <c r="E31" s="1"/>
      <c r="F31" s="1"/>
      <c r="G31" s="1"/>
      <c r="H31" s="1"/>
      <c r="I31" s="53"/>
      <c r="J31" s="73" t="s">
        <v>48</v>
      </c>
      <c r="K31" s="73"/>
      <c r="L31" s="2">
        <f>L29</f>
        <v>2139336762.8839777</v>
      </c>
      <c r="M31" s="2">
        <f>M29</f>
        <v>2148390722.8839779</v>
      </c>
      <c r="N31" s="1"/>
      <c r="O31" s="1"/>
      <c r="P31" s="1"/>
      <c r="Q31" s="1"/>
      <c r="R31" s="1"/>
      <c r="S31" s="1"/>
      <c r="T31" s="6" t="s">
        <v>65</v>
      </c>
      <c r="U31" s="7">
        <v>2870</v>
      </c>
      <c r="V31" s="53"/>
      <c r="W31" s="1"/>
      <c r="X31" s="1" t="s">
        <v>40</v>
      </c>
      <c r="Y31" s="1"/>
      <c r="Z31" s="1"/>
      <c r="AA31" s="1"/>
      <c r="AB31" s="1"/>
    </row>
    <row r="32" spans="1:28" x14ac:dyDescent="0.25">
      <c r="A32" s="53"/>
      <c r="B32" s="1"/>
      <c r="C32" s="1"/>
      <c r="D32" s="1"/>
      <c r="E32" s="1"/>
      <c r="F32" s="1"/>
      <c r="G32" s="1"/>
      <c r="H32" s="1"/>
      <c r="I32" s="2"/>
      <c r="J32" s="73" t="s">
        <v>49</v>
      </c>
      <c r="K32" s="73"/>
      <c r="L32" s="2">
        <f>AVERAGE(L4:L28)</f>
        <v>85573470.515359104</v>
      </c>
      <c r="M32" s="2">
        <f>AVERAGE(M3:M28)</f>
        <v>82630412.418614537</v>
      </c>
      <c r="N32" s="1"/>
      <c r="O32" s="1"/>
      <c r="P32" s="1"/>
      <c r="Q32" s="1"/>
      <c r="R32" s="1"/>
      <c r="S32" s="1"/>
      <c r="T32" s="6" t="s">
        <v>66</v>
      </c>
      <c r="U32" s="7">
        <v>1746</v>
      </c>
      <c r="V32" s="53"/>
      <c r="W32" s="1"/>
      <c r="X32" s="1"/>
      <c r="Y32" s="1"/>
      <c r="Z32" s="1"/>
      <c r="AA32" s="1"/>
      <c r="AB32" s="1"/>
    </row>
    <row r="33" spans="1:2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6" t="s">
        <v>67</v>
      </c>
      <c r="U33" s="7">
        <v>0</v>
      </c>
      <c r="V33" s="53"/>
      <c r="W33" s="1"/>
      <c r="X33" s="1"/>
      <c r="Y33" s="1"/>
      <c r="Z33" s="1"/>
      <c r="AA33" s="1"/>
      <c r="AB33" s="1"/>
    </row>
    <row r="34" spans="1:2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 t="s">
        <v>40</v>
      </c>
      <c r="N34" s="1"/>
      <c r="O34" s="1"/>
      <c r="P34" s="1"/>
      <c r="Q34" s="1"/>
      <c r="R34" s="1"/>
      <c r="S34" s="1"/>
      <c r="T34" s="6"/>
      <c r="U34" s="50">
        <f>AVERAGE(U31:U32)</f>
        <v>2308</v>
      </c>
      <c r="V34" s="53"/>
      <c r="W34" s="1"/>
      <c r="X34" s="1"/>
      <c r="Y34" s="1"/>
      <c r="Z34" s="1"/>
      <c r="AA34" s="1"/>
      <c r="AB34" s="1"/>
    </row>
    <row r="35" spans="1:2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6" t="s">
        <v>73</v>
      </c>
      <c r="U35" s="60">
        <v>42000000</v>
      </c>
      <c r="V35" s="53"/>
      <c r="W35" s="1"/>
      <c r="X35" s="1"/>
      <c r="Y35" s="1"/>
      <c r="Z35" s="1"/>
      <c r="AA35" s="1"/>
      <c r="AB35" s="1"/>
    </row>
    <row r="36" spans="1:2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6" t="s">
        <v>74</v>
      </c>
      <c r="U36" s="60">
        <v>12500000</v>
      </c>
      <c r="V36" s="53"/>
      <c r="W36" s="1"/>
      <c r="X36" s="1"/>
      <c r="Y36" s="1"/>
      <c r="Z36" s="1"/>
      <c r="AA36" s="1"/>
      <c r="AB36" s="1"/>
    </row>
    <row r="37" spans="1:2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6"/>
      <c r="U37" s="59"/>
      <c r="V37" s="53"/>
      <c r="W37" s="1"/>
      <c r="X37" s="1"/>
      <c r="Y37" s="1"/>
      <c r="Z37" s="1"/>
      <c r="AA37" s="1"/>
      <c r="AB37" s="1"/>
    </row>
    <row r="38" spans="1:2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"/>
      <c r="U38" s="7"/>
      <c r="V38" s="53"/>
      <c r="W38" s="1"/>
      <c r="X38" s="1"/>
      <c r="Y38" s="1"/>
      <c r="Z38" s="1"/>
      <c r="AA38" s="1"/>
      <c r="AB38" s="1"/>
    </row>
    <row r="39" spans="1:2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6"/>
      <c r="U39" s="7"/>
      <c r="V39" s="53"/>
      <c r="W39" s="1"/>
      <c r="X39" s="1"/>
      <c r="Y39" s="1"/>
      <c r="Z39" s="1"/>
      <c r="AA39" s="1"/>
      <c r="AB39" s="1"/>
    </row>
    <row r="40" spans="1:2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5">
      <c r="T51" s="1"/>
      <c r="U51" s="1"/>
      <c r="V51" s="1"/>
    </row>
    <row r="52" spans="1:28" x14ac:dyDescent="0.25">
      <c r="T52" s="1"/>
      <c r="U52" s="1"/>
      <c r="V52" s="1"/>
    </row>
    <row r="53" spans="1:28" x14ac:dyDescent="0.25">
      <c r="T53" s="1"/>
      <c r="U53" s="1"/>
      <c r="V53" s="1"/>
    </row>
  </sheetData>
  <mergeCells count="7">
    <mergeCell ref="J32:K32"/>
    <mergeCell ref="A1:H1"/>
    <mergeCell ref="I1:L1"/>
    <mergeCell ref="E2:F2"/>
    <mergeCell ref="T3:V3"/>
    <mergeCell ref="T6:V6"/>
    <mergeCell ref="J31:K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 tieu moi truong</vt:lpstr>
      <vt:lpstr>Chay dong tien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2024-07-03T07:29:32Z</dcterms:created>
  <dcterms:modified xsi:type="dcterms:W3CDTF">2024-09-07T06:08:09Z</dcterms:modified>
</cp:coreProperties>
</file>